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showInkAnnotation="0" defaultThemeVersion="124226"/>
  <bookViews>
    <workbookView xWindow="1980" yWindow="120" windowWidth="19320" windowHeight="11415"/>
  </bookViews>
  <sheets>
    <sheet name="Creating a Quote" sheetId="5" r:id="rId1"/>
    <sheet name="Configure Products" sheetId="1" r:id="rId2"/>
    <sheet name="Quotation" sheetId="3" r:id="rId3"/>
    <sheet name="Jacket-July-2011" sheetId="4" r:id="rId4"/>
    <sheet name="US List Prices" sheetId="2" r:id="rId5"/>
  </sheets>
  <calcPr calcId="125725"/>
</workbook>
</file>

<file path=xl/calcChain.xml><?xml version="1.0" encoding="utf-8"?>
<calcChain xmlns="http://schemas.openxmlformats.org/spreadsheetml/2006/main">
  <c r="B19" i="3"/>
  <c r="D33" i="1"/>
  <c r="C75" i="4"/>
  <c r="D74"/>
  <c r="D75" s="1"/>
  <c r="D24" i="1"/>
  <c r="H24"/>
  <c r="G24"/>
  <c r="F24"/>
  <c r="H22"/>
  <c r="G22"/>
  <c r="D12"/>
  <c r="C83" i="4"/>
  <c r="D111"/>
  <c r="D110"/>
  <c r="C97"/>
  <c r="C96"/>
  <c r="D96" s="1"/>
  <c r="C95"/>
  <c r="C92"/>
  <c r="C106" s="1"/>
  <c r="D82"/>
  <c r="D83" s="1"/>
  <c r="C79"/>
  <c r="D78"/>
  <c r="D79" s="1"/>
  <c r="C71"/>
  <c r="D70"/>
  <c r="D71" s="1"/>
  <c r="C67"/>
  <c r="D66"/>
  <c r="D67" s="1"/>
  <c r="D49"/>
  <c r="C49"/>
  <c r="D33"/>
  <c r="C33"/>
  <c r="C26"/>
  <c r="C62" s="1"/>
  <c r="C25"/>
  <c r="C61" s="1"/>
  <c r="C24"/>
  <c r="C60" s="1"/>
  <c r="C23"/>
  <c r="C59" s="1"/>
  <c r="C22"/>
  <c r="C58" s="1"/>
  <c r="C21"/>
  <c r="C57" s="1"/>
  <c r="C20"/>
  <c r="C56" s="1"/>
  <c r="C19"/>
  <c r="C55" s="1"/>
  <c r="C18"/>
  <c r="C54" s="1"/>
  <c r="C17"/>
  <c r="C53" s="1"/>
  <c r="C16"/>
  <c r="C52" s="1"/>
  <c r="C15"/>
  <c r="C51" s="1"/>
  <c r="C14"/>
  <c r="C50" s="1"/>
  <c r="C11"/>
  <c r="D11" s="1"/>
  <c r="C10"/>
  <c r="D10" s="1"/>
  <c r="G33" i="1" l="1"/>
  <c r="H33"/>
  <c r="F33"/>
  <c r="D15" i="4"/>
  <c r="D17"/>
  <c r="D19"/>
  <c r="D21"/>
  <c r="D23"/>
  <c r="D25"/>
  <c r="C35"/>
  <c r="C37"/>
  <c r="C39"/>
  <c r="C41"/>
  <c r="C43"/>
  <c r="C45"/>
  <c r="D95"/>
  <c r="D97"/>
  <c r="C101"/>
  <c r="C103"/>
  <c r="C105"/>
  <c r="C107"/>
  <c r="D14"/>
  <c r="D16"/>
  <c r="D18"/>
  <c r="D20"/>
  <c r="D22"/>
  <c r="D24"/>
  <c r="D26"/>
  <c r="C34"/>
  <c r="C36"/>
  <c r="C38"/>
  <c r="C40"/>
  <c r="C42"/>
  <c r="C44"/>
  <c r="C46"/>
  <c r="D92"/>
  <c r="C100"/>
  <c r="C102"/>
  <c r="C104"/>
  <c r="D106" l="1"/>
  <c r="D104"/>
  <c r="D102"/>
  <c r="D100"/>
  <c r="D107"/>
  <c r="D105"/>
  <c r="D103"/>
  <c r="D101"/>
  <c r="D62"/>
  <c r="D46"/>
  <c r="D58"/>
  <c r="D42"/>
  <c r="D54"/>
  <c r="D38"/>
  <c r="D50"/>
  <c r="D34"/>
  <c r="D61"/>
  <c r="D45"/>
  <c r="D59"/>
  <c r="D43"/>
  <c r="D57"/>
  <c r="D41"/>
  <c r="D55"/>
  <c r="D39"/>
  <c r="D53"/>
  <c r="D37"/>
  <c r="D51"/>
  <c r="D35"/>
  <c r="D60"/>
  <c r="D44"/>
  <c r="D56"/>
  <c r="D40"/>
  <c r="D52"/>
  <c r="D36"/>
  <c r="D14" i="1" l="1"/>
  <c r="D13"/>
  <c r="D32"/>
  <c r="G32" s="1"/>
  <c r="D31"/>
  <c r="H31" s="1"/>
  <c r="D30"/>
  <c r="H30" s="1"/>
  <c r="D28"/>
  <c r="F28" s="1"/>
  <c r="D29"/>
  <c r="B34" i="3"/>
  <c r="D34"/>
  <c r="B33"/>
  <c r="D33"/>
  <c r="D32"/>
  <c r="B32"/>
  <c r="B31"/>
  <c r="D31"/>
  <c r="D30"/>
  <c r="H29" i="1"/>
  <c r="D25"/>
  <c r="B35" i="3"/>
  <c r="B30"/>
  <c r="D35"/>
  <c r="H28" i="1" l="1"/>
  <c r="D27"/>
  <c r="F32"/>
  <c r="H32"/>
  <c r="F31"/>
  <c r="G31"/>
  <c r="G30"/>
  <c r="F30"/>
  <c r="F29"/>
  <c r="G29"/>
  <c r="G28"/>
  <c r="C27"/>
  <c r="B39" i="3"/>
  <c r="B38"/>
  <c r="B37"/>
  <c r="G28"/>
  <c r="D28"/>
  <c r="B28"/>
  <c r="G27"/>
  <c r="D27"/>
  <c r="D26"/>
  <c r="B27"/>
  <c r="G22"/>
  <c r="D22"/>
  <c r="B22"/>
  <c r="B23"/>
  <c r="H27" i="1" l="1"/>
  <c r="G27"/>
  <c r="F27"/>
  <c r="B24" i="3"/>
  <c r="D25" l="1"/>
  <c r="D24"/>
  <c r="D23"/>
  <c r="G26"/>
  <c r="B26"/>
  <c r="G25"/>
  <c r="B25"/>
  <c r="G24"/>
  <c r="G23"/>
  <c r="H9" l="1"/>
  <c r="H6"/>
  <c r="H5"/>
  <c r="H26" i="1"/>
  <c r="H25"/>
  <c r="H23"/>
  <c r="H20"/>
  <c r="H19"/>
  <c r="G26"/>
  <c r="G25"/>
  <c r="G23"/>
  <c r="G20"/>
  <c r="G19"/>
  <c r="H35" i="3"/>
  <c r="H29"/>
  <c r="F26" i="1"/>
  <c r="F25"/>
  <c r="H25" i="3" s="1"/>
  <c r="F23" i="1"/>
  <c r="H24" i="3" s="1"/>
  <c r="F22" i="1"/>
  <c r="F20"/>
  <c r="F19"/>
  <c r="H18"/>
  <c r="D19"/>
  <c r="D20"/>
  <c r="H34" l="1"/>
  <c r="H39" s="1"/>
  <c r="H26" i="3"/>
  <c r="H23"/>
  <c r="H27"/>
  <c r="H28"/>
  <c r="G18" i="1"/>
  <c r="G34" s="1"/>
  <c r="G39" s="1"/>
  <c r="D18"/>
  <c r="F18"/>
  <c r="E15" i="2"/>
  <c r="E14"/>
  <c r="H22" i="3" l="1"/>
  <c r="F34" i="1"/>
  <c r="F39" s="1"/>
  <c r="H37"/>
  <c r="H38"/>
  <c r="G37"/>
  <c r="G38"/>
  <c r="D26"/>
  <c r="D23"/>
  <c r="D22"/>
  <c r="F37" l="1"/>
  <c r="H37" i="3" s="1"/>
  <c r="F38" i="1"/>
  <c r="H38" i="3" s="1"/>
  <c r="D34" i="1"/>
  <c r="D37" s="1"/>
  <c r="H40"/>
  <c r="H39" i="3"/>
  <c r="G40" i="1"/>
  <c r="D39"/>
  <c r="H41" i="3" l="1"/>
  <c r="F40" i="1"/>
  <c r="D38"/>
  <c r="D40" l="1"/>
</calcChain>
</file>

<file path=xl/comments1.xml><?xml version="1.0" encoding="utf-8"?>
<comments xmlns="http://schemas.openxmlformats.org/spreadsheetml/2006/main">
  <authors>
    <author>Rosario</author>
    <author>dgibson</author>
    <author>Bill's Laptop</author>
  </authors>
  <commentList>
    <comment ref="F1" authorId="0">
      <text>
        <r>
          <rPr>
            <b/>
            <sz val="8"/>
            <color indexed="81"/>
            <rFont val="Tahoma"/>
            <family val="2"/>
          </rPr>
          <t xml:space="preserve">
This flag selects which of the three pricing schedules below is reflected in the FORMAL QUOTE tab as follows:
0 - COMMERCIAL
1 - GOVERNMENT-RESEARCH
2 - ACADEMIC</t>
        </r>
      </text>
    </comment>
    <comment ref="C16" authorId="1">
      <text>
        <r>
          <rPr>
            <b/>
            <sz val="8"/>
            <color indexed="81"/>
            <rFont val="Tahoma"/>
            <family val="2"/>
          </rPr>
          <t>dgibson:</t>
        </r>
        <r>
          <rPr>
            <sz val="8"/>
            <color indexed="81"/>
            <rFont val="Tahoma"/>
            <family val="2"/>
          </rPr>
          <t xml:space="preserve">
Enter the quantity for each product desired</t>
        </r>
      </text>
    </comment>
    <comment ref="C25" authorId="1">
      <text>
        <r>
          <rPr>
            <b/>
            <sz val="8"/>
            <color indexed="81"/>
            <rFont val="Tahoma"/>
            <family val="2"/>
          </rPr>
          <t>dgibson:</t>
        </r>
        <r>
          <rPr>
            <sz val="8"/>
            <color indexed="81"/>
            <rFont val="Tahoma"/>
            <family val="2"/>
          </rPr>
          <t xml:space="preserve">
SDK required for adding your own CUDA kernals to Jacket</t>
        </r>
      </text>
    </comment>
    <comment ref="A27" authorId="2">
      <text>
        <r>
          <rPr>
            <b/>
            <sz val="9"/>
            <color indexed="81"/>
            <rFont val="Tahoma"/>
            <family val="2"/>
          </rPr>
          <t>Bill:</t>
        </r>
        <r>
          <rPr>
            <sz val="9"/>
            <color indexed="81"/>
            <rFont val="Tahoma"/>
            <family val="2"/>
          </rPr>
          <t xml:space="preserve">
Requires 1 Base License per MGL Workstation</t>
        </r>
      </text>
    </comment>
    <comment ref="C27" authorId="1">
      <text>
        <r>
          <rPr>
            <b/>
            <sz val="8"/>
            <color indexed="81"/>
            <rFont val="Tahoma"/>
            <family val="2"/>
          </rPr>
          <t>dgibson:</t>
        </r>
        <r>
          <rPr>
            <sz val="8"/>
            <color indexed="81"/>
            <rFont val="Tahoma"/>
            <family val="2"/>
          </rPr>
          <t xml:space="preserve">
Total MGL licenses for quote</t>
        </r>
      </text>
    </comment>
    <comment ref="A33" authorId="2">
      <text>
        <r>
          <rPr>
            <b/>
            <sz val="9"/>
            <color indexed="81"/>
            <rFont val="Tahoma"/>
            <family val="2"/>
          </rPr>
          <t>Bill:</t>
        </r>
        <r>
          <rPr>
            <sz val="9"/>
            <color indexed="81"/>
            <rFont val="Tahoma"/>
            <family val="2"/>
          </rPr>
          <t xml:space="preserve">
Requires 1 Base License per HPC License</t>
        </r>
      </text>
    </comment>
    <comment ref="C33" authorId="1">
      <text>
        <r>
          <rPr>
            <b/>
            <sz val="8"/>
            <color indexed="81"/>
            <rFont val="Tahoma"/>
            <family val="2"/>
          </rPr>
          <t>dgibson:</t>
        </r>
        <r>
          <rPr>
            <sz val="8"/>
            <color indexed="81"/>
            <rFont val="Tahoma"/>
            <family val="2"/>
          </rPr>
          <t xml:space="preserve">
Only applies to GPU clusters with more than 8 GPUs.  Enter the total number of GPUs desired for use in the cluster</t>
        </r>
      </text>
    </comment>
    <comment ref="A37" authorId="2">
      <text>
        <r>
          <rPr>
            <b/>
            <sz val="9"/>
            <color indexed="81"/>
            <rFont val="Tahoma"/>
            <family val="2"/>
          </rPr>
          <t>Bill:</t>
        </r>
        <r>
          <rPr>
            <sz val="9"/>
            <color indexed="81"/>
            <rFont val="Tahoma"/>
            <family val="2"/>
          </rPr>
          <t xml:space="preserve">
Additional Year of SMS. Base License comes with 1st Year.</t>
        </r>
      </text>
    </comment>
    <comment ref="C37" authorId="1">
      <text>
        <r>
          <rPr>
            <b/>
            <sz val="8"/>
            <color indexed="81"/>
            <rFont val="Tahoma"/>
            <family val="2"/>
          </rPr>
          <t>dgibson:</t>
        </r>
        <r>
          <rPr>
            <sz val="8"/>
            <color indexed="81"/>
            <rFont val="Tahoma"/>
            <family val="2"/>
          </rPr>
          <t xml:space="preserve">
If you desire software updates enter "1" here.  This is for 1 year of software updates</t>
        </r>
      </text>
    </comment>
    <comment ref="A38" authorId="2">
      <text>
        <r>
          <rPr>
            <b/>
            <sz val="9"/>
            <color indexed="81"/>
            <rFont val="Tahoma"/>
            <family val="2"/>
          </rPr>
          <t>Bill:</t>
        </r>
        <r>
          <rPr>
            <sz val="9"/>
            <color indexed="81"/>
            <rFont val="Tahoma"/>
            <family val="2"/>
          </rPr>
          <t xml:space="preserve">
Phone Support is NOT included in Base License</t>
        </r>
      </text>
    </comment>
    <comment ref="C38" authorId="1">
      <text>
        <r>
          <rPr>
            <b/>
            <sz val="8"/>
            <color indexed="81"/>
            <rFont val="Tahoma"/>
            <family val="2"/>
          </rPr>
          <t>dgibson:</t>
        </r>
        <r>
          <rPr>
            <sz val="8"/>
            <color indexed="81"/>
            <rFont val="Tahoma"/>
            <family val="2"/>
          </rPr>
          <t xml:space="preserve">
If you desire Phone support enter "1" here, this is for 1 year of support</t>
        </r>
      </text>
    </comment>
    <comment ref="C39" authorId="1">
      <text>
        <r>
          <rPr>
            <b/>
            <sz val="8"/>
            <color indexed="81"/>
            <rFont val="Tahoma"/>
            <family val="2"/>
          </rPr>
          <t>dgibson:</t>
        </r>
        <r>
          <rPr>
            <sz val="8"/>
            <color indexed="81"/>
            <rFont val="Tahoma"/>
            <family val="2"/>
          </rPr>
          <t xml:space="preserve">
Standard license is for designated computers.  For floating/concurrent licenses enter a "1" here</t>
        </r>
      </text>
    </comment>
  </commentList>
</comments>
</file>

<file path=xl/sharedStrings.xml><?xml version="1.0" encoding="utf-8"?>
<sst xmlns="http://schemas.openxmlformats.org/spreadsheetml/2006/main" count="446" uniqueCount="310">
  <si>
    <t>Description</t>
  </si>
  <si>
    <t>Per GPU Pricing</t>
  </si>
  <si>
    <t>US List Price</t>
  </si>
  <si>
    <t>Jacket Base</t>
  </si>
  <si>
    <t>Base License</t>
  </si>
  <si>
    <t>N</t>
  </si>
  <si>
    <t>Double Precision Linear Alg.</t>
  </si>
  <si>
    <t>Jacket SDK</t>
  </si>
  <si>
    <t>Software Development Kit</t>
  </si>
  <si>
    <t>Jacket JMC</t>
  </si>
  <si>
    <t>Compiler Option</t>
  </si>
  <si>
    <t>Jacket MGL</t>
  </si>
  <si>
    <t>Multiple GPUs workstations</t>
  </si>
  <si>
    <t>Y</t>
  </si>
  <si>
    <t>Jacket HPC</t>
  </si>
  <si>
    <t>Multiple GPUs clusters</t>
  </si>
  <si>
    <t>Quantity</t>
  </si>
  <si>
    <t>1=Yes</t>
  </si>
  <si>
    <t>Uplift</t>
  </si>
  <si>
    <t>Software Maintenance</t>
  </si>
  <si>
    <t>Telephone Support</t>
  </si>
  <si>
    <t>Concurrent License</t>
  </si>
  <si>
    <t>End User Purchase Price</t>
  </si>
  <si>
    <t>Prepare a Quotation for Jacket Products</t>
  </si>
  <si>
    <t>Developers Bundle</t>
  </si>
  <si>
    <t>5 Jacket Seats</t>
  </si>
  <si>
    <t>10 Jacket Seats</t>
  </si>
  <si>
    <t>5 Base Jacket licenses</t>
  </si>
  <si>
    <t>10 Base Jacket Licenses</t>
  </si>
  <si>
    <t>Special Bundles</t>
  </si>
  <si>
    <t>Product Name</t>
  </si>
  <si>
    <t>Part Number</t>
  </si>
  <si>
    <t>JKT-BASE-PER</t>
  </si>
  <si>
    <t>Perpetual</t>
  </si>
  <si>
    <t>NO</t>
  </si>
  <si>
    <t>Jacket DLA</t>
  </si>
  <si>
    <t>YES</t>
  </si>
  <si>
    <t>JKT-MGL0XXG-PER</t>
  </si>
  <si>
    <t>JKT-HPC0XXG-PER</t>
  </si>
  <si>
    <t>JKT-DLA-PER</t>
  </si>
  <si>
    <t>JKT-DCSDK-PER</t>
  </si>
  <si>
    <t>JKT-JMC-PER</t>
  </si>
  <si>
    <t>JKT-CN02G-PER</t>
  </si>
  <si>
    <t>Designated Computer Licenses</t>
  </si>
  <si>
    <t>Concurrent Network Licenses</t>
  </si>
  <si>
    <t>JKT-CNSDK-PER</t>
  </si>
  <si>
    <t>Double Precision Linear Algebra</t>
  </si>
  <si>
    <t>Multiple GPUs workstations - 2 to 8 GPUs</t>
  </si>
  <si>
    <t>Multiple GPUs clusters - 8+ GPUs</t>
  </si>
  <si>
    <t>1 year of software updates - 10% of license fees</t>
  </si>
  <si>
    <t>Phone Support</t>
  </si>
  <si>
    <t>1 year of phone support - 20% of license fees</t>
  </si>
  <si>
    <t>Services &amp; Support</t>
  </si>
  <si>
    <t>NOTE:</t>
  </si>
  <si>
    <t>Discount Schedule</t>
  </si>
  <si>
    <t>Discounts</t>
  </si>
  <si>
    <t>Academic</t>
  </si>
  <si>
    <t>Base, DLA, SDK, 4 GPUs</t>
  </si>
  <si>
    <t>Government</t>
  </si>
  <si>
    <t>Individual Products</t>
  </si>
  <si>
    <t>SUB-TOTAL</t>
  </si>
  <si>
    <t>List Price Total</t>
  </si>
  <si>
    <t>Quotation</t>
  </si>
  <si>
    <t>Quotation #</t>
  </si>
  <si>
    <t>Customer ID</t>
  </si>
  <si>
    <t>Bill To:</t>
  </si>
  <si>
    <t>Prepared by:</t>
  </si>
  <si>
    <t>Street Address</t>
  </si>
  <si>
    <t>Comments or special instructions:</t>
  </si>
  <si>
    <t>AMOUNT</t>
  </si>
  <si>
    <t>75 5th St NW STE 204</t>
  </si>
  <si>
    <t>Atlanta, GA 30308</t>
  </si>
  <si>
    <t>Phone:  (800) 570-1941</t>
  </si>
  <si>
    <t>Date</t>
  </si>
  <si>
    <t>Quote Valid Until:</t>
  </si>
  <si>
    <t>Firstname</t>
  </si>
  <si>
    <t>Lastname</t>
  </si>
  <si>
    <t xml:space="preserve">City, State/Province </t>
  </si>
  <si>
    <t>Postal Code</t>
  </si>
  <si>
    <t>Country</t>
  </si>
  <si>
    <t xml:space="preserve"> Jacket US List Price</t>
  </si>
  <si>
    <t>All pricing in US Dollars</t>
  </si>
  <si>
    <t>List Price</t>
  </si>
  <si>
    <t>EDU Price</t>
  </si>
  <si>
    <t>JKT-BASE-5PAK</t>
  </si>
  <si>
    <t>JKT-BASE-10PAK</t>
  </si>
  <si>
    <t>Upgrades to Multi GPU JACKET LICENSE</t>
  </si>
  <si>
    <t>Addition to Base License</t>
  </si>
  <si>
    <t>JKT-MGL002G-PER</t>
  </si>
  <si>
    <t xml:space="preserve">Upgrade  to a Multi GPU base license up to 2 GPUs The upgrade license includes SGS  – Simultaneous GPU Sessions (for the ability  to assign individual GPUs to separate MATLAB instances)and MGL Multi- GPU License supporting Mathworks’ PCT </t>
  </si>
  <si>
    <t>JKT-MGL003G-PER</t>
  </si>
  <si>
    <t xml:space="preserve">Upgrade  to a Multi GPU base license up to 3 GPUs The upgrade license includes SGS  – Simultaneous GPU Sessions (for the ability  to assign individual GPUs to separate MATLAB instances)and MGL Multi- GPU License supporting Mathworks’ PCT </t>
  </si>
  <si>
    <t>JKT-MGL004G-PER</t>
  </si>
  <si>
    <t xml:space="preserve">Upgrade  to a Multi GPU base license up to 4 GPUs, The upgrade license includes SGS  – Simultaneous GPU Sessions (for the ability  to assign individual GPUs to separate MATLAB instances)and MGL Multi- GPU License supporting Mathworks’ PCT </t>
  </si>
  <si>
    <t>JKT-MGL005G-PER</t>
  </si>
  <si>
    <t xml:space="preserve">Upgrade  to a Multi GPU base license up to 5 GPUs, The upgrade license includes SGS  – Simultaneous GPU Sessions (for the ability  to assign individual GPUs to separate MATLAB instances)and MGL Multi- GPU License supporting Mathworks’ PCT </t>
  </si>
  <si>
    <t>JKT-MGL006G-PER</t>
  </si>
  <si>
    <t xml:space="preserve">Upgrade  to a Multi GPU base license up to 6 GPUs, The upgrade license includes SGS  – Simultaneous GPU Sessions (for the ability  to assign individual GPUs to separate MATLAB instances)and MGL Multi- GPU License supporting Mathworks’ PCT </t>
  </si>
  <si>
    <t>JKT-MGL007G-PER</t>
  </si>
  <si>
    <t xml:space="preserve">Upgrade  to a Multi GPU base license up to 7 GPUs, The upgrade license includes SGS  – Simultaneous GPU Sessions (for the ability  to assign individual GPUs to separate MATLAB instances)and MGL Multi- GPU License supporting Mathworks’ PCT </t>
  </si>
  <si>
    <t>JKT-MGL008G-PER</t>
  </si>
  <si>
    <t xml:space="preserve">Upgrade  to a Multi GPU base license up to 8 GPUs,The upgrade license includes SGS  – Simultaneous GPU Sessions (for the ability  to assign individual GPUs to separate MATLAB instances)and MGL Multi- GPU License supporting Mathworks’ PCT </t>
  </si>
  <si>
    <t>JKT-HPC012G-PER</t>
  </si>
  <si>
    <t>Upgrade  to a HPC Multi GPU base license up to 12 GPUs, The upgrade license includes SGS  – Simultaneous GPU Sessions (for the ability  to assign individual GPUs to separate MATLAB instances)and MGL Multi- GPU License supporting Mathworks’ PCT &amp; DCS</t>
  </si>
  <si>
    <t>JKT-HPC016G-PER</t>
  </si>
  <si>
    <t>Upgrade  to a HPC Multi GPU base license up to 16 GPUs, The upgrade license includes SGS  – Simultaneous GPU Sessions (for the ability  to assign individual GPUs to separate MATLAB instances)and MGL Multi- GPU License supporting Mathworks’ PCT &amp; DCS</t>
  </si>
  <si>
    <t>JKT-HPC032G-PER</t>
  </si>
  <si>
    <t>Upgrade  to a HPC Multi GPU base license up to 32 GPUs, The upgrade license includes SGS  – Simultaneous GPU Sessions (for the ability  to assign individual GPUs to separate MATLAB instances)and MGL Multi- GPU License supporting Mathworks’ PCT &amp; DCS</t>
  </si>
  <si>
    <t>JKT-HPC064G-PER</t>
  </si>
  <si>
    <t>Upgrade  to a HPC Multi GPU base license up to 64 GPUs, The upgrade license includes SGS  – Simultaneous GPU Sessions (for the ability  to assign individual GPUs to separate MATLAB instances)and MGL Multi- GPU License supporting Mathworks’ PCT &amp; DCS</t>
  </si>
  <si>
    <t>JKT-HPC128G-PER</t>
  </si>
  <si>
    <t>Upgrade  to a HPC Multi GPU base license up to 128 GPUs, The upgrade license includes SGS  – Simultaneous GPU Sessions (for the ability  to assign individual GPUs to separate MATLAB instances)and MGL Multi- GPU License supporting Mathworks’ PCT &amp; DCS</t>
  </si>
  <si>
    <t>JKT-HPC256G-PER</t>
  </si>
  <si>
    <t>Upgrade  to a HPC Multi GPU base license up to 256 GPUs, The upgrade license includes SGS  – Simultaneous GPU Sessions (for the ability  to assign individual GPUs to separate MATLAB instances)and MGL Multi- GPU License supporting Mathworks’ PCT &amp; DCS</t>
  </si>
  <si>
    <t>Software Maintenance Service (SMS)</t>
  </si>
  <si>
    <t>JKT-BASE-SMS</t>
  </si>
  <si>
    <t>1-year additional Jacket Base Software Maintenance Service</t>
  </si>
  <si>
    <t>JKT-MGL002G-SMS</t>
  </si>
  <si>
    <t>1-year additional Jacket Multi-GPU Software Maintenance Service for up to 2 GPUs</t>
  </si>
  <si>
    <t>JKT-MGL003G-SMS</t>
  </si>
  <si>
    <t>1-year additional Jacket Multi-GPU Software Maintenance Service for up to 3 GPUs</t>
  </si>
  <si>
    <t>JKT-MGL004G-SMS</t>
  </si>
  <si>
    <t>1-year additional Jacket Multi-GPU Software Maintenance Service for up to 4 GPUs</t>
  </si>
  <si>
    <t>JKT-MGL005G-SMS</t>
  </si>
  <si>
    <t>1-year additional Jacket Multi-GPU Software Maintenance Service for up to 5 GPUs</t>
  </si>
  <si>
    <t>JKT-MGL006G-SMS</t>
  </si>
  <si>
    <t>1-year additional Jacket Multi-GPU Software Maintenance Service for up to 6 GPUs</t>
  </si>
  <si>
    <t>JKT-MGL007G-SMS</t>
  </si>
  <si>
    <t>1-year additional Jacket Multi-GPU Software Maintenance Service for up to 7 GPUs</t>
  </si>
  <si>
    <t>JKT-MGL008G-SMS</t>
  </si>
  <si>
    <t>1-year additional Jacket Multi-GPU Software Maintenance Service for up to 8 GPUs</t>
  </si>
  <si>
    <t>JKT-HPC012G-SMS</t>
  </si>
  <si>
    <t>1-year additional Jacket HPC Multi-GPU Software Maintenance Service for up to 12 GPUs</t>
  </si>
  <si>
    <t>JKT-HPC016G-SMS</t>
  </si>
  <si>
    <t>1-year additional Jacket HPC Multi-GPU Software Maintenance Service for up to 16 GPUs</t>
  </si>
  <si>
    <t>JKT-HPC032G-SMS</t>
  </si>
  <si>
    <t>1-year additional Jacket HPC Multi-GPU Software Maintenance Service for up to 32 GPUs</t>
  </si>
  <si>
    <t>JKT-HPC064G-SMS</t>
  </si>
  <si>
    <t>1-year additional Jacket HPC Multi-GPU Software Maintenance Service for up to 64 GPUs</t>
  </si>
  <si>
    <t>JKT-HPC128G-SMS</t>
  </si>
  <si>
    <t>1-year additional Jacket HPC Multi-GPU Software Maintenance Service for up to 128 GPUs</t>
  </si>
  <si>
    <t>JKT-HPC256G-SMS</t>
  </si>
  <si>
    <t>1-year additional Jacket HPC Multi-GPU Software Maintenance Service for up to 256 GPUs</t>
  </si>
  <si>
    <t>Phone Support Upgrade</t>
  </si>
  <si>
    <t>JKT-BASE-PHONE</t>
  </si>
  <si>
    <t>1-year Phone Jacket Base Support</t>
  </si>
  <si>
    <t>JKT-MGL002G-PHONE</t>
  </si>
  <si>
    <t>1-year Phone Jacket Multi-GPU Support for up to 2 GPUs</t>
  </si>
  <si>
    <t>JKT-MGL003G-PHONE</t>
  </si>
  <si>
    <t>1-year Phone Jacket Multi-GPU Support for up to 3 GPUs</t>
  </si>
  <si>
    <t>JKT-MGL004G-PHONE</t>
  </si>
  <si>
    <t>1-year Phone Jacket Multi-GPU Support for up to 4 GPUs</t>
  </si>
  <si>
    <t>JKT-MGL005G-PHONE</t>
  </si>
  <si>
    <t>1-year Phone Jacket Multi-GPU Support for up to 5 GPUs</t>
  </si>
  <si>
    <t>JKT-MGL006G-PHONE</t>
  </si>
  <si>
    <t>1-year Phone Jacket Multi-GPU Support for up to 6 GPUs</t>
  </si>
  <si>
    <t>JKT-MGL007G-PHONE</t>
  </si>
  <si>
    <t>1-year Phone Jacket Multi-GPU Support for up to 7 GPUs</t>
  </si>
  <si>
    <t>JKT-MGL008G-PHONE</t>
  </si>
  <si>
    <t>1-year Phone Jacket Multi-GPU Support for up to 8 GPUs</t>
  </si>
  <si>
    <t>JKT-HPC012G-PHONE</t>
  </si>
  <si>
    <t>1-year Phone Jacket HPC Multi-GPU Support for up to 12 GPUs</t>
  </si>
  <si>
    <t>JKT-HPC016G-PHONE</t>
  </si>
  <si>
    <t>1-year Phone Jacket HPC Multi-GPU Support for up to 16 GPUs</t>
  </si>
  <si>
    <t>JKT-HPC032G-PHONE</t>
  </si>
  <si>
    <t>1-year Phone Jacket HPC Multi-GPU Support for up to 32 GPUs</t>
  </si>
  <si>
    <t>JKT-HPC064G-PHONE</t>
  </si>
  <si>
    <t>1-year Phone Jacket HPC Multi-GPU Support for up to 64 GPUs</t>
  </si>
  <si>
    <t>JKT-HPC128G-PHONE</t>
  </si>
  <si>
    <t>1-year Phone Jacket HPC Multi-GPU Support for up to 128 GPUs</t>
  </si>
  <si>
    <t>JKT-HPC256G-PHONE</t>
  </si>
  <si>
    <t>1-year Phone Jacket HPC Multi-GPU Support for up to 256 GPUs</t>
  </si>
  <si>
    <t>Jacket Developer SDK</t>
  </si>
  <si>
    <t>Jacket Developer SDK licenses have additional SMS fees, as given below:</t>
  </si>
  <si>
    <t>JKT-SDK-PER</t>
  </si>
  <si>
    <t>Upgrade to a base license to include the developer SDK. The Jacket Developer SDK upgrade enables custom CUDA code to be integrated into Jacket’s optimized runtime using a very simple API modeled after the MATLAB MEX API. The Developer SDK allows CUDA code to run with MATLAB while inheriting Jacket’s built-in memory and execution runtime optimizations</t>
  </si>
  <si>
    <t>JKT-SDK-SMS</t>
  </si>
  <si>
    <t>1-year maintenance for a JKT-DCSDK-PER upgraded license.</t>
  </si>
  <si>
    <t xml:space="preserve">JMC – Jacket MATLAB Compiler </t>
  </si>
  <si>
    <t>JKT-JMC-SMS</t>
  </si>
  <si>
    <t>1-year maintenance for a JKT-JMC-PER upgraded license.</t>
  </si>
  <si>
    <t xml:space="preserve">Developer Package </t>
  </si>
  <si>
    <t>JKT-DEVBUNDLE</t>
  </si>
  <si>
    <t>Developers Bundle includes; Base License of Jacket upgraded to 4 GPUs, SDK(Software Development Toolkit) and Jacket DLA(Double Precision Linear Algebra)</t>
  </si>
  <si>
    <t>JKT-DEVBUNDLE-SMS</t>
  </si>
  <si>
    <t>1-year additional Jacket Developer Bundle Support</t>
  </si>
  <si>
    <t>Concurrent Network License</t>
  </si>
  <si>
    <t>Price per key</t>
  </si>
  <si>
    <t>Concurrent Network License Simultaneous GPU Sessions (SGS) Upgrade</t>
  </si>
  <si>
    <t>Add’l. Price</t>
  </si>
  <si>
    <t>Upgrade to a base license to 2 simultaneous GPU sessions wherein multiple instances of MATLAB/Jacket can run concurrently on a single PC and each instance can control a separate GPU.</t>
  </si>
  <si>
    <t>JKT-CN03G-PER</t>
  </si>
  <si>
    <t>Upgrade to a base license to 3 simultaneous GPU sessions wherein multiple instances of MATLAB/Jacket can run concurrently on a single PC and each instance can control a separate GPU.</t>
  </si>
  <si>
    <t>JKT-CN04G-PER</t>
  </si>
  <si>
    <t>Upgrade to a base license to 4 simultaneous GPU sessions wherein multiple instances of MATLAB/Jacket can run concurrently on a single PC and each instance can control a separate GPU.</t>
  </si>
  <si>
    <t>Concurrent Network License  Software Maintenance Service (SMS)</t>
  </si>
  <si>
    <t>JKT-CN01G-SMS</t>
  </si>
  <si>
    <t xml:space="preserve">1-year maintenance for a JKT-CN01G-PER license, a Jacket license must be under current software maintenance. </t>
  </si>
  <si>
    <t>JKT-CN02G-SMS</t>
  </si>
  <si>
    <t xml:space="preserve">1-year maintenance for a JKT-CN02G-PER license, a Jacket license must be under current software maintenance. </t>
  </si>
  <si>
    <t>JKT-CN03G-SMS</t>
  </si>
  <si>
    <t xml:space="preserve">1-year maintenance for a JKT-CN03G-PER upgraded license  a Jacket license must be under current software maintenance. </t>
  </si>
  <si>
    <t>JKT-CN04G-SMS</t>
  </si>
  <si>
    <t xml:space="preserve">1-year maintenance for a JKT-CN04G-PER upgraded license  a Jacket license must be under current software maintenance. </t>
  </si>
  <si>
    <t>JKT-CN01G-PHONE</t>
  </si>
  <si>
    <t>1-year phone support for a JKT-CN01G-PER license</t>
  </si>
  <si>
    <t>JKT-CN02G-PHONE</t>
  </si>
  <si>
    <t>1-year phone support for a JKT-CN02G-PER license</t>
  </si>
  <si>
    <t>JKT-CN03G-PHONE</t>
  </si>
  <si>
    <t>1-year phone support for a JKT-CN03G-PER upgraded license</t>
  </si>
  <si>
    <t>JKT-CN04G-PHONE</t>
  </si>
  <si>
    <t>1-year phone support for a JKT-CN04G-PER upgraded license</t>
  </si>
  <si>
    <t>Concurrent Network License Developer SDK Upgrade</t>
  </si>
  <si>
    <t>Upgrade to a base license to include the developer SDK. The Jacket Developer SDK upgrade enables custom CUDA code to be integrated into Jacket’s optimized runtime using a very simple API modeled after the MATLAB MEX API. The Developer SDK allows CUDA code to run with MATLAB while inheriting Jacket’s built-in memory and execution optimizations</t>
  </si>
  <si>
    <t>JKT-CNSDK-SMS</t>
  </si>
  <si>
    <t>1-year maintenance for a JKT-CNSDK-PER upgraded license.</t>
  </si>
  <si>
    <t xml:space="preserve">Additional Information Training and Consulting Services </t>
  </si>
  <si>
    <t>JKT-PHONE-1USR-1YR</t>
  </si>
  <si>
    <t>Phone for named user -Annual fee for one named user</t>
  </si>
  <si>
    <t>-</t>
  </si>
  <si>
    <t>JKT-PHONE-1USR-1YR-EDU</t>
  </si>
  <si>
    <t>Phone for named user - EDU     Annual fee for one named user</t>
  </si>
  <si>
    <t>JKT-ENTINSTALL-16G</t>
  </si>
  <si>
    <t>Enterprise Installation. Up to 16 GPUs   Does not include travel and expenses</t>
  </si>
  <si>
    <t>JKT-ENTINSTALL-64G</t>
  </si>
  <si>
    <t>Enterprise Installation. Up to 64 GPUs  Does not include travel and expenses</t>
  </si>
  <si>
    <t>JKT-ENTTRAIN-WEB</t>
  </si>
  <si>
    <t>Enterprise Training - Custom - WebEx</t>
  </si>
  <si>
    <t>JKT-ENTTRAIN-ONSITE</t>
  </si>
  <si>
    <t>Enterprise Training - Custom - Onsite    Does not include travel and expenses</t>
  </si>
  <si>
    <t>JKT-ENTTRAIN-WSHOP</t>
  </si>
  <si>
    <t>Onsite training workshop up-to 12 students  Does not include travel and expenses</t>
  </si>
  <si>
    <t>JKT-ENTTRAIN-WSHOP-ADD</t>
  </si>
  <si>
    <t>Workshop extra student    Does not include travel and expenses</t>
  </si>
  <si>
    <t>JKT-CONSULT-ASSESS</t>
  </si>
  <si>
    <t>Application consulting    Does not include travel and expenses</t>
  </si>
  <si>
    <t>JKT-CONSULT-1D</t>
  </si>
  <si>
    <t>One business day of consulting   Does not include travel and expenses</t>
  </si>
  <si>
    <t>JKT-CONSULT-1W</t>
  </si>
  <si>
    <t>One business week of consulting    Does not include travel and expenses</t>
  </si>
  <si>
    <t>Product Number</t>
  </si>
  <si>
    <t>Multiple GPU Options</t>
  </si>
  <si>
    <t>DLA – Jacket Double Precision Linear Algebra</t>
  </si>
  <si>
    <t>Jacket Double Precision Linear Algebra</t>
  </si>
  <si>
    <t>JKT-DLA-SMS</t>
  </si>
  <si>
    <t>1-year maintenance for a JKT-DLA-PER upgraded license.</t>
  </si>
  <si>
    <t>MGL for Workstation 1</t>
  </si>
  <si>
    <t>MGL for Workstation 2</t>
  </si>
  <si>
    <t>MGL for Workstation 3</t>
  </si>
  <si>
    <t>MGL for Workstation 4</t>
  </si>
  <si>
    <t>MGL for Workstation 5</t>
  </si>
  <si>
    <t>Base, Bundles and Add-on Products</t>
  </si>
  <si>
    <t>Software Maintenance Services</t>
  </si>
  <si>
    <t>Services, Support and Concurrency Options</t>
  </si>
  <si>
    <t>TOTAL PURCHASE</t>
  </si>
  <si>
    <t>Go to the "Configure Products" tab - lower bottom of the worksheet</t>
  </si>
  <si>
    <t>Print these instructions in order to get step by step instructions</t>
  </si>
  <si>
    <r>
      <t>In "Configure Products"  -</t>
    </r>
    <r>
      <rPr>
        <sz val="16"/>
        <color rgb="FFFFC000"/>
        <rFont val="Calibri"/>
        <family val="2"/>
        <scheme val="minor"/>
      </rPr>
      <t xml:space="preserve"> orange</t>
    </r>
    <r>
      <rPr>
        <sz val="11"/>
        <color theme="1"/>
        <rFont val="Calibri"/>
        <family val="2"/>
        <scheme val="minor"/>
      </rPr>
      <t xml:space="preserve"> cells are places to input data</t>
    </r>
  </si>
  <si>
    <t>Starting in cell C17, you will enter the quantity of each product to quote</t>
  </si>
  <si>
    <t>Input the Customer Type to determine Discounts in Cell F1</t>
  </si>
  <si>
    <t xml:space="preserve">     - special bundles first</t>
  </si>
  <si>
    <t xml:space="preserve">     - individual products next - Jacket Base, DLA, SDK and Compiler Option</t>
  </si>
  <si>
    <t>For MGL licenses - assign the number of GPUs to each base license</t>
  </si>
  <si>
    <t xml:space="preserve">     - assign the full GPU count to each system</t>
  </si>
  <si>
    <t xml:space="preserve">     - a total GPU count will calculate and deduct those from base licenses</t>
  </si>
  <si>
    <t>If buying for an GPU Cluster, enter the total GPUs for the cluster</t>
  </si>
  <si>
    <t>For Software Maintenance Service enter "1" in the appropriate cell</t>
  </si>
  <si>
    <t>For Telephone Support enter "1" in the appropriate cell</t>
  </si>
  <si>
    <t>Pricing is calculated based on the overall license dollars</t>
  </si>
  <si>
    <t xml:space="preserve">     - ONLY 5 WORKSTATIONS CAN BE CONFIGURED ON A SINGLE QUOTE</t>
  </si>
  <si>
    <t>For concurrent network license enter "1" in the appropriate cell</t>
  </si>
  <si>
    <t>Now select the "Quotation" tab to preview the Quote</t>
  </si>
  <si>
    <t xml:space="preserve">     - Print the Quote is printing or faxing is the goal</t>
  </si>
  <si>
    <t>To send a quote via email follow these steps:</t>
  </si>
  <si>
    <t xml:space="preserve">     - On the Quotation Tab, Right click the tab at the bottom of the worksheet</t>
  </si>
  <si>
    <t xml:space="preserve">     - Select "Move or Copy" from the pop-up menu</t>
  </si>
  <si>
    <t xml:space="preserve">     - In the pop up Move or Copy window</t>
  </si>
  <si>
    <t xml:space="preserve">          - Click on "Quotation"</t>
  </si>
  <si>
    <t xml:space="preserve">          - Check the box on the lower left call "Create a Copy"</t>
  </si>
  <si>
    <t xml:space="preserve">         -  In the upper drop down menu of the window - select "new book"</t>
  </si>
  <si>
    <t xml:space="preserve">         - Click "Ok"</t>
  </si>
  <si>
    <t xml:space="preserve">         - You will now have a New XLS named Book1 on your screen</t>
  </si>
  <si>
    <t xml:space="preserve">        - Rename the file to your customer name or other naming schemes</t>
  </si>
  <si>
    <t xml:space="preserve">         - Save the file to pdf and/or print</t>
  </si>
  <si>
    <t xml:space="preserve">        - Enter customer name, address, phone and other specific data</t>
  </si>
  <si>
    <r>
      <t xml:space="preserve">     -  each system requires a </t>
    </r>
    <r>
      <rPr>
        <b/>
        <sz val="11"/>
        <color theme="1"/>
        <rFont val="Calibri"/>
        <family val="2"/>
        <scheme val="minor"/>
      </rPr>
      <t>Base License</t>
    </r>
  </si>
  <si>
    <r>
      <t xml:space="preserve">     -  GPU Cluster requires a </t>
    </r>
    <r>
      <rPr>
        <b/>
        <sz val="11"/>
        <color theme="1"/>
        <rFont val="Calibri"/>
        <family val="2"/>
        <scheme val="minor"/>
      </rPr>
      <t>Base License</t>
    </r>
  </si>
  <si>
    <t>JKT-BASE-CN</t>
  </si>
  <si>
    <t>All HPC quotes need to be approved by Sales for Final Configuration</t>
  </si>
  <si>
    <t>Jacket SLA</t>
  </si>
  <si>
    <t>Sparse Linear Algebra</t>
  </si>
  <si>
    <t>SLA – Jacket Sparse Linear Algebra</t>
  </si>
  <si>
    <t>JKT-SLA-PER</t>
  </si>
  <si>
    <t>JKT-SLA-SMS</t>
  </si>
  <si>
    <t>1-year maintenance for a JKT-SLA-PER upgraded license.</t>
  </si>
  <si>
    <t>Jacket  Sparse Linear Algebra</t>
  </si>
  <si>
    <t>Perpetual vs. Subscription</t>
  </si>
  <si>
    <t>Jacket Price List</t>
  </si>
  <si>
    <t>Regular Price</t>
  </si>
  <si>
    <t>1-Yr</t>
  </si>
  <si>
    <t>Designated computer base licenses are perpetual, come with 1-year of maintenance, and include the ability to control a single GPU. License agreement is here:  http://accelereyes.com/eula_jacket</t>
  </si>
  <si>
    <t>0 - Commercial/Indvidual, Government/Research, 2 - Academic</t>
  </si>
  <si>
    <t>Last updated 5/31/2011</t>
  </si>
  <si>
    <r>
      <t xml:space="preserve">Select "Customer Type" - Commercial,Govt </t>
    </r>
    <r>
      <rPr>
        <b/>
        <sz val="18"/>
        <color theme="1"/>
        <rFont val="Arial"/>
        <family val="2"/>
      </rPr>
      <t xml:space="preserve">/ </t>
    </r>
    <r>
      <rPr>
        <b/>
        <sz val="14"/>
        <color theme="1"/>
        <rFont val="Arial"/>
        <family val="2"/>
      </rPr>
      <t>Academic(0/2)</t>
    </r>
  </si>
  <si>
    <t>Standard</t>
  </si>
  <si>
    <t>Jacket Designated computer base licenses are perpetual and come with 1-year of maintenance. Licenses include: the Graphics Library, and basic support on the AccelerEyes forums.  All Jacket Base licenses include the ability to run a Single Simultaneous GPU session of MATLAB/Jacket to control a Single GPU. All licenses are subject to the EULA found at http://www.accelereyes.com/eula</t>
  </si>
  <si>
    <t>5 Pack of Jacket Designated computer base licenses are perpetual and come with 1-year of  maintenance. Licenses include: the Graphics Library, and basic support on the AccelerEyes forums.  All Jacket Base licenses include the ability to run a Single Simultaneous GPU session of MATLAB/Jacket to control a Single GPU. All licenses are subject to the EULA found at http://www.accelereyes.com/eula</t>
  </si>
  <si>
    <t>10 Pack of Jacket Designated computer base licenses are perpetual and come with 1-year of  maintenance. Licenses include: the Graphics Library, and basic support on the AccelerEyes forums.  All Jacket Base licenses include the ability to run a Single Simultaneous GPU session of MATLAB/Jacket to control a Single GPU. All licenses are subject to the EULA found at http://www.accelereyes.com/eula</t>
  </si>
  <si>
    <t xml:space="preserve">Concurrent Network License of Jacket.  You can make Jacket available to anyone with access to your network via Jacket’s FLEXNET license manager. Concurrent keys are used to control access. Users check out a key when they use Jacket functions. When all the keys for a particular product are checked out, the license manager denies further requests. You can install Jacket on unlimited machines with unlimited users. Use is only limited by the number of concurrent keys. All concurrent network base licenses are perpetual and come with 1-year of maintenance. Licenses include: the Graphics Library support a single simultaneous GPU sessions, and basic support on the AccelerEyes forums. All licenses are subject to the EULA found at http://www.accelereyes.com/eula </t>
  </si>
  <si>
    <t>JMC (for license free deployment of Jacket code via the MATLAB compiler)</t>
  </si>
</sst>
</file>

<file path=xl/styles.xml><?xml version="1.0" encoding="utf-8"?>
<styleSheet xmlns="http://schemas.openxmlformats.org/spreadsheetml/2006/main">
  <numFmts count="6">
    <numFmt numFmtId="8" formatCode="&quot;$&quot;#,##0.00_);[Red]\(&quot;$&quot;#,##0.00\)"/>
    <numFmt numFmtId="42" formatCode="_(&quot;$&quot;* #,##0_);_(&quot;$&quot;* \(#,##0\);_(&quot;$&quot;* &quot;-&quot;_);_(@_)"/>
    <numFmt numFmtId="44" formatCode="_(&quot;$&quot;* #,##0.00_);_(&quot;$&quot;* \(#,##0.00\);_(&quot;$&quot;* &quot;-&quot;??_);_(@_)"/>
    <numFmt numFmtId="164" formatCode="&quot;$&quot;#,##0"/>
    <numFmt numFmtId="165" formatCode="&quot;$&quot;#,##0.00"/>
    <numFmt numFmtId="166" formatCode="[$-409]mmmm\ d\,\ yyyy;@"/>
  </numFmts>
  <fonts count="48">
    <font>
      <sz val="11"/>
      <color theme="1"/>
      <name val="Calibri"/>
      <family val="2"/>
      <scheme val="minor"/>
    </font>
    <font>
      <b/>
      <sz val="11"/>
      <color theme="1"/>
      <name val="Calibri"/>
      <family val="2"/>
      <scheme val="minor"/>
    </font>
    <font>
      <b/>
      <sz val="11"/>
      <color theme="1"/>
      <name val="Calibri"/>
      <family val="2"/>
    </font>
    <font>
      <sz val="8"/>
      <color theme="1"/>
      <name val="Calibri"/>
      <family val="2"/>
      <scheme val="minor"/>
    </font>
    <font>
      <sz val="11"/>
      <color rgb="FF000000"/>
      <name val="Calibri"/>
      <family val="2"/>
    </font>
    <font>
      <b/>
      <sz val="14"/>
      <color theme="1"/>
      <name val="Calibri"/>
      <family val="2"/>
      <scheme val="minor"/>
    </font>
    <font>
      <b/>
      <sz val="12"/>
      <color theme="1"/>
      <name val="Calibri"/>
      <family val="2"/>
      <scheme val="minor"/>
    </font>
    <font>
      <sz val="8"/>
      <color indexed="81"/>
      <name val="Tahoma"/>
      <family val="2"/>
    </font>
    <font>
      <b/>
      <sz val="8"/>
      <color indexed="81"/>
      <name val="Tahoma"/>
      <family val="2"/>
    </font>
    <font>
      <sz val="10"/>
      <name val="Arial"/>
      <family val="2"/>
    </font>
    <font>
      <sz val="9"/>
      <color theme="1"/>
      <name val="Calibri"/>
      <family val="2"/>
      <scheme val="minor"/>
    </font>
    <font>
      <b/>
      <sz val="11"/>
      <color theme="0"/>
      <name val="Calibri"/>
      <family val="2"/>
      <scheme val="minor"/>
    </font>
    <font>
      <sz val="10"/>
      <name val="Franklin Gothic Book"/>
      <family val="2"/>
    </font>
    <font>
      <sz val="10"/>
      <color theme="1"/>
      <name val="Calibri"/>
      <family val="2"/>
      <scheme val="minor"/>
    </font>
    <font>
      <b/>
      <sz val="16"/>
      <color theme="1"/>
      <name val="Calibri"/>
      <family val="2"/>
      <scheme val="minor"/>
    </font>
    <font>
      <sz val="11"/>
      <color theme="1"/>
      <name val="Calibri"/>
      <family val="2"/>
      <scheme val="minor"/>
    </font>
    <font>
      <b/>
      <sz val="14"/>
      <name val="Arial"/>
      <family val="2"/>
    </font>
    <font>
      <b/>
      <sz val="10"/>
      <color theme="1"/>
      <name val="Arial"/>
      <family val="2"/>
    </font>
    <font>
      <b/>
      <sz val="10"/>
      <name val="Arial"/>
      <family val="2"/>
    </font>
    <font>
      <i/>
      <sz val="10"/>
      <name val="Arial"/>
      <family val="2"/>
    </font>
    <font>
      <b/>
      <sz val="10"/>
      <color indexed="9"/>
      <name val="Arial"/>
      <family val="2"/>
    </font>
    <font>
      <b/>
      <sz val="22"/>
      <color theme="1"/>
      <name val="Calibri"/>
      <family val="2"/>
      <scheme val="minor"/>
    </font>
    <font>
      <sz val="11"/>
      <name val="Arial"/>
      <family val="2"/>
    </font>
    <font>
      <b/>
      <sz val="26"/>
      <name val="Arial"/>
      <family val="2"/>
    </font>
    <font>
      <b/>
      <i/>
      <sz val="12"/>
      <name val="Calibri"/>
      <family val="2"/>
      <scheme val="minor"/>
    </font>
    <font>
      <b/>
      <sz val="18"/>
      <name val="Franklin Gothic Book"/>
      <family val="2"/>
    </font>
    <font>
      <b/>
      <sz val="14"/>
      <name val="Franklin Gothic Book"/>
      <family val="2"/>
    </font>
    <font>
      <b/>
      <sz val="14"/>
      <color rgb="FFFFFFFF"/>
      <name val="Franklin Gothic Book"/>
      <family val="2"/>
    </font>
    <font>
      <b/>
      <sz val="14"/>
      <color theme="0"/>
      <name val="Franklin Gothic Book"/>
      <family val="2"/>
    </font>
    <font>
      <sz val="12"/>
      <name val="Franklin Gothic Book"/>
      <family val="2"/>
    </font>
    <font>
      <sz val="12"/>
      <color rgb="FF000000"/>
      <name val="Franklin Gothic Book"/>
      <family val="2"/>
    </font>
    <font>
      <sz val="12"/>
      <color theme="1"/>
      <name val="Franklin Gothic Book"/>
      <family val="2"/>
    </font>
    <font>
      <sz val="11"/>
      <color theme="0"/>
      <name val="Calibri"/>
      <family val="2"/>
      <scheme val="minor"/>
    </font>
    <font>
      <b/>
      <sz val="9"/>
      <color theme="1"/>
      <name val="Calibri"/>
      <family val="2"/>
      <scheme val="minor"/>
    </font>
    <font>
      <b/>
      <sz val="12"/>
      <color theme="0"/>
      <name val="Calibri"/>
      <family val="2"/>
      <scheme val="minor"/>
    </font>
    <font>
      <b/>
      <sz val="14"/>
      <color theme="1"/>
      <name val="Arial"/>
      <family val="2"/>
    </font>
    <font>
      <sz val="14"/>
      <color theme="1"/>
      <name val="Calibri"/>
      <family val="2"/>
      <scheme val="minor"/>
    </font>
    <font>
      <sz val="16"/>
      <color rgb="FFFFC000"/>
      <name val="Calibri"/>
      <family val="2"/>
      <scheme val="minor"/>
    </font>
    <font>
      <b/>
      <sz val="18"/>
      <color theme="1"/>
      <name val="Calibri"/>
      <family val="2"/>
      <scheme val="minor"/>
    </font>
    <font>
      <sz val="9"/>
      <color indexed="81"/>
      <name val="Tahoma"/>
      <family val="2"/>
    </font>
    <font>
      <b/>
      <sz val="9"/>
      <color indexed="81"/>
      <name val="Tahoma"/>
      <family val="2"/>
    </font>
    <font>
      <sz val="11"/>
      <color theme="4" tint="0.79998168889431442"/>
      <name val="Calibri"/>
      <family val="2"/>
      <scheme val="minor"/>
    </font>
    <font>
      <sz val="11"/>
      <color rgb="FF000000"/>
      <name val="Calibri"/>
      <family val="2"/>
      <scheme val="minor"/>
    </font>
    <font>
      <b/>
      <sz val="11"/>
      <color rgb="FF000000"/>
      <name val="Calibri"/>
      <family val="2"/>
      <scheme val="minor"/>
    </font>
    <font>
      <sz val="10"/>
      <name val="Calibri"/>
      <family val="2"/>
      <scheme val="minor"/>
    </font>
    <font>
      <sz val="11"/>
      <name val="Calibri"/>
      <family val="2"/>
      <scheme val="minor"/>
    </font>
    <font>
      <b/>
      <sz val="11"/>
      <name val="Calibri"/>
      <family val="2"/>
      <scheme val="minor"/>
    </font>
    <font>
      <b/>
      <sz val="18"/>
      <color theme="1"/>
      <name val="Arial"/>
      <family val="2"/>
    </font>
  </fonts>
  <fills count="19">
    <fill>
      <patternFill patternType="none"/>
    </fill>
    <fill>
      <patternFill patternType="gray125"/>
    </fill>
    <fill>
      <patternFill patternType="solid">
        <fgColor theme="0" tint="-0.249977111117893"/>
        <bgColor indexed="64"/>
      </patternFill>
    </fill>
    <fill>
      <patternFill patternType="solid">
        <fgColor theme="4" tint="0.79998168889431442"/>
        <bgColor indexed="64"/>
      </patternFill>
    </fill>
    <fill>
      <patternFill patternType="solid">
        <fgColor rgb="FFFFC000"/>
        <bgColor indexed="64"/>
      </patternFill>
    </fill>
    <fill>
      <patternFill patternType="solid">
        <fgColor theme="6" tint="0.59999389629810485"/>
        <bgColor indexed="64"/>
      </patternFill>
    </fill>
    <fill>
      <patternFill patternType="solid">
        <fgColor theme="7" tint="0.39997558519241921"/>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3"/>
        <bgColor indexed="64"/>
      </patternFill>
    </fill>
    <fill>
      <patternFill patternType="solid">
        <fgColor theme="6"/>
        <bgColor indexed="64"/>
      </patternFill>
    </fill>
    <fill>
      <patternFill patternType="solid">
        <fgColor theme="1"/>
        <bgColor indexed="64"/>
      </patternFill>
    </fill>
    <fill>
      <patternFill patternType="solid">
        <fgColor indexed="9"/>
        <bgColor indexed="64"/>
      </patternFill>
    </fill>
    <fill>
      <patternFill patternType="solid">
        <fgColor rgb="FF1F497D"/>
        <bgColor indexed="64"/>
      </patternFill>
    </fill>
    <fill>
      <patternFill patternType="solid">
        <fgColor theme="0" tint="-0.499984740745262"/>
        <bgColor indexed="64"/>
      </patternFill>
    </fill>
    <fill>
      <patternFill patternType="solid">
        <fgColor rgb="FFFFFF00"/>
        <bgColor indexed="64"/>
      </patternFill>
    </fill>
    <fill>
      <patternFill patternType="solid">
        <fgColor theme="0" tint="-4.9989318521683403E-2"/>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s>
  <cellStyleXfs count="3">
    <xf numFmtId="0" fontId="0" fillId="0" borderId="0"/>
    <xf numFmtId="0" fontId="9" fillId="0" borderId="0"/>
    <xf numFmtId="44" fontId="15" fillId="0" borderId="0" applyFont="0" applyFill="0" applyBorder="0" applyAlignment="0" applyProtection="0"/>
  </cellStyleXfs>
  <cellXfs count="221">
    <xf numFmtId="0" fontId="0" fillId="0" borderId="0" xfId="0"/>
    <xf numFmtId="0" fontId="0" fillId="2" borderId="0" xfId="0" applyFont="1" applyFill="1" applyAlignment="1">
      <alignment horizontal="center"/>
    </xf>
    <xf numFmtId="0" fontId="2" fillId="2" borderId="0" xfId="0" applyFont="1" applyFill="1" applyAlignment="1">
      <alignment horizontal="center" vertical="top" wrapText="1"/>
    </xf>
    <xf numFmtId="0" fontId="3" fillId="2" borderId="0" xfId="0" applyFont="1" applyFill="1" applyAlignment="1">
      <alignment horizontal="center"/>
    </xf>
    <xf numFmtId="0" fontId="0" fillId="2" borderId="0" xfId="0" applyFont="1" applyFill="1"/>
    <xf numFmtId="0" fontId="0" fillId="0" borderId="0" xfId="0" applyFont="1" applyFill="1"/>
    <xf numFmtId="0" fontId="4" fillId="0" borderId="0" xfId="0" applyFont="1" applyAlignment="1">
      <alignment vertical="top" wrapText="1"/>
    </xf>
    <xf numFmtId="0" fontId="0" fillId="0" borderId="0" xfId="0" applyAlignment="1">
      <alignment horizontal="center"/>
    </xf>
    <xf numFmtId="164" fontId="0" fillId="0" borderId="0" xfId="0" applyNumberFormat="1" applyFill="1"/>
    <xf numFmtId="0" fontId="0" fillId="3" borderId="0" xfId="0" applyFill="1"/>
    <xf numFmtId="0" fontId="0" fillId="3" borderId="0" xfId="0" applyFill="1" applyAlignment="1">
      <alignment horizontal="center"/>
    </xf>
    <xf numFmtId="0" fontId="0" fillId="4" borderId="0" xfId="0" applyFill="1" applyAlignment="1">
      <alignment horizontal="center"/>
    </xf>
    <xf numFmtId="165" fontId="0" fillId="3" borderId="0" xfId="0" applyNumberFormat="1" applyFill="1"/>
    <xf numFmtId="0" fontId="0" fillId="5" borderId="0" xfId="0" applyFill="1"/>
    <xf numFmtId="165" fontId="0" fillId="5" borderId="0" xfId="0" applyNumberFormat="1" applyFill="1"/>
    <xf numFmtId="0" fontId="0" fillId="5" borderId="0" xfId="0" applyFill="1" applyAlignment="1">
      <alignment horizontal="center"/>
    </xf>
    <xf numFmtId="10" fontId="0" fillId="5" borderId="0" xfId="0" applyNumberFormat="1" applyFill="1"/>
    <xf numFmtId="0" fontId="5" fillId="6" borderId="0" xfId="0" applyFont="1" applyFill="1"/>
    <xf numFmtId="165" fontId="5" fillId="6" borderId="0" xfId="0" applyNumberFormat="1" applyFont="1" applyFill="1"/>
    <xf numFmtId="0" fontId="6" fillId="0" borderId="0" xfId="0" applyFont="1"/>
    <xf numFmtId="0" fontId="4" fillId="3" borderId="0" xfId="0" applyFont="1" applyFill="1" applyAlignment="1">
      <alignment vertical="top" wrapText="1"/>
    </xf>
    <xf numFmtId="0" fontId="0" fillId="8" borderId="0" xfId="0" applyFill="1"/>
    <xf numFmtId="165" fontId="0" fillId="8" borderId="0" xfId="0" applyNumberFormat="1" applyFill="1"/>
    <xf numFmtId="0" fontId="0" fillId="4" borderId="0" xfId="0" applyFill="1"/>
    <xf numFmtId="0" fontId="1" fillId="4" borderId="0" xfId="0" applyFont="1" applyFill="1"/>
    <xf numFmtId="0" fontId="1" fillId="4" borderId="0" xfId="0" applyFont="1" applyFill="1" applyBorder="1"/>
    <xf numFmtId="0" fontId="0" fillId="0" borderId="0" xfId="0" applyFill="1"/>
    <xf numFmtId="0" fontId="1" fillId="0" borderId="0" xfId="0" applyFont="1" applyFill="1"/>
    <xf numFmtId="164" fontId="0" fillId="0" borderId="0" xfId="0" applyNumberFormat="1"/>
    <xf numFmtId="165" fontId="0" fillId="0" borderId="0" xfId="0" applyNumberFormat="1"/>
    <xf numFmtId="0" fontId="0" fillId="7" borderId="0" xfId="0" applyFill="1"/>
    <xf numFmtId="9" fontId="0" fillId="0" borderId="0" xfId="0" applyNumberFormat="1"/>
    <xf numFmtId="0" fontId="0" fillId="0" borderId="0" xfId="0" applyProtection="1">
      <protection locked="0"/>
    </xf>
    <xf numFmtId="0" fontId="0" fillId="0" borderId="0" xfId="0" applyProtection="1"/>
    <xf numFmtId="44" fontId="0" fillId="0" borderId="0" xfId="2" applyFont="1" applyProtection="1"/>
    <xf numFmtId="0" fontId="17" fillId="0" borderId="4" xfId="0" applyFont="1" applyFill="1" applyBorder="1" applyAlignment="1" applyProtection="1">
      <alignment horizontal="center" wrapText="1"/>
    </xf>
    <xf numFmtId="0" fontId="0" fillId="2" borderId="0" xfId="0" applyFill="1"/>
    <xf numFmtId="0" fontId="0" fillId="7" borderId="0" xfId="0" applyFill="1" applyAlignment="1">
      <alignment horizontal="center"/>
    </xf>
    <xf numFmtId="0" fontId="1" fillId="0" borderId="0" xfId="0" applyFont="1"/>
    <xf numFmtId="165" fontId="0" fillId="0" borderId="0" xfId="0" applyNumberFormat="1" applyFill="1"/>
    <xf numFmtId="0" fontId="0" fillId="0" borderId="0" xfId="0" applyFill="1" applyAlignment="1">
      <alignment horizontal="center"/>
    </xf>
    <xf numFmtId="9" fontId="1" fillId="0" borderId="0" xfId="0" applyNumberFormat="1" applyFont="1" applyAlignment="1">
      <alignment horizontal="center"/>
    </xf>
    <xf numFmtId="0" fontId="0" fillId="13" borderId="0" xfId="0" applyFill="1"/>
    <xf numFmtId="0" fontId="0" fillId="13" borderId="0" xfId="0" applyFill="1" applyAlignment="1">
      <alignment horizontal="center"/>
    </xf>
    <xf numFmtId="165" fontId="0" fillId="13" borderId="0" xfId="0" applyNumberFormat="1" applyFill="1"/>
    <xf numFmtId="0" fontId="1" fillId="2" borderId="0" xfId="0" applyFont="1" applyFill="1" applyAlignment="1">
      <alignment horizontal="center"/>
    </xf>
    <xf numFmtId="0" fontId="1" fillId="0" borderId="0" xfId="0" applyFont="1" applyAlignment="1">
      <alignment horizontal="center"/>
    </xf>
    <xf numFmtId="0" fontId="18" fillId="0" borderId="0" xfId="0" applyFont="1" applyProtection="1">
      <protection locked="0"/>
    </xf>
    <xf numFmtId="0" fontId="21" fillId="4" borderId="0" xfId="0" applyFont="1" applyFill="1" applyAlignment="1">
      <alignment horizontal="right"/>
    </xf>
    <xf numFmtId="0" fontId="0" fillId="10" borderId="0" xfId="0" applyFill="1"/>
    <xf numFmtId="0" fontId="9" fillId="14" borderId="0" xfId="1" applyFont="1" applyFill="1" applyBorder="1" applyAlignment="1">
      <alignment horizontal="center" vertical="center" wrapText="1"/>
    </xf>
    <xf numFmtId="0" fontId="22" fillId="14" borderId="0" xfId="1" applyFont="1" applyFill="1"/>
    <xf numFmtId="0" fontId="9" fillId="14" borderId="0" xfId="1" applyFont="1" applyFill="1" applyBorder="1"/>
    <xf numFmtId="0" fontId="9" fillId="14" borderId="0" xfId="1" applyFont="1" applyFill="1"/>
    <xf numFmtId="0" fontId="19" fillId="14" borderId="0" xfId="1" applyFont="1" applyFill="1" applyBorder="1" applyAlignment="1">
      <alignment horizontal="center"/>
    </xf>
    <xf numFmtId="0" fontId="9" fillId="14" borderId="0" xfId="1" applyFont="1" applyFill="1" applyAlignment="1"/>
    <xf numFmtId="42" fontId="9" fillId="14" borderId="0" xfId="1" applyNumberFormat="1" applyFont="1" applyFill="1" applyAlignment="1"/>
    <xf numFmtId="0" fontId="26" fillId="0" borderId="0" xfId="1" applyFont="1" applyAlignment="1">
      <alignment wrapText="1"/>
    </xf>
    <xf numFmtId="0" fontId="27" fillId="15" borderId="4" xfId="1" applyFont="1" applyFill="1" applyBorder="1" applyAlignment="1">
      <alignment horizontal="left" wrapText="1"/>
    </xf>
    <xf numFmtId="0" fontId="27" fillId="15" borderId="4" xfId="1" applyFont="1" applyFill="1" applyBorder="1" applyAlignment="1">
      <alignment wrapText="1"/>
    </xf>
    <xf numFmtId="165" fontId="27" fillId="15" borderId="4" xfId="1" applyNumberFormat="1" applyFont="1" applyFill="1" applyBorder="1" applyAlignment="1">
      <alignment horizontal="center" vertical="center" wrapText="1"/>
    </xf>
    <xf numFmtId="165" fontId="28" fillId="11" borderId="4" xfId="1" applyNumberFormat="1" applyFont="1" applyFill="1" applyBorder="1" applyAlignment="1">
      <alignment horizontal="center" vertical="center"/>
    </xf>
    <xf numFmtId="0" fontId="29" fillId="9" borderId="4" xfId="1" applyFont="1" applyFill="1" applyBorder="1" applyAlignment="1">
      <alignment horizontal="left" vertical="center" wrapText="1"/>
    </xf>
    <xf numFmtId="0" fontId="29" fillId="9" borderId="4" xfId="1" applyFont="1" applyFill="1" applyBorder="1" applyAlignment="1">
      <alignment vertical="center" wrapText="1"/>
    </xf>
    <xf numFmtId="165" fontId="29" fillId="9" borderId="4" xfId="1" applyNumberFormat="1" applyFont="1" applyFill="1" applyBorder="1" applyAlignment="1">
      <alignment horizontal="center" vertical="center" wrapText="1"/>
    </xf>
    <xf numFmtId="165" fontId="29" fillId="9" borderId="4" xfId="1" applyNumberFormat="1" applyFont="1" applyFill="1" applyBorder="1" applyAlignment="1">
      <alignment horizontal="center" vertical="center"/>
    </xf>
    <xf numFmtId="0" fontId="29" fillId="10" borderId="4" xfId="1" applyFont="1" applyFill="1" applyBorder="1" applyAlignment="1">
      <alignment horizontal="left" vertical="center" wrapText="1"/>
    </xf>
    <xf numFmtId="0" fontId="29" fillId="10" borderId="4" xfId="1" applyFont="1" applyFill="1" applyBorder="1" applyAlignment="1">
      <alignment vertical="center" wrapText="1"/>
    </xf>
    <xf numFmtId="165" fontId="29" fillId="10" borderId="4" xfId="1" applyNumberFormat="1" applyFont="1" applyFill="1" applyBorder="1" applyAlignment="1">
      <alignment horizontal="center" vertical="center" wrapText="1"/>
    </xf>
    <xf numFmtId="165" fontId="29" fillId="10" borderId="4" xfId="1" applyNumberFormat="1" applyFont="1" applyFill="1" applyBorder="1" applyAlignment="1">
      <alignment horizontal="center" vertical="center"/>
    </xf>
    <xf numFmtId="0" fontId="27" fillId="11" borderId="11" xfId="1" applyFont="1" applyFill="1" applyBorder="1" applyAlignment="1">
      <alignment wrapText="1"/>
    </xf>
    <xf numFmtId="0" fontId="27" fillId="11" borderId="12" xfId="1" applyFont="1" applyFill="1" applyBorder="1" applyAlignment="1">
      <alignment wrapText="1"/>
    </xf>
    <xf numFmtId="165" fontId="29" fillId="10" borderId="4" xfId="2" applyNumberFormat="1" applyFont="1" applyFill="1" applyBorder="1" applyAlignment="1">
      <alignment horizontal="center" vertical="center" wrapText="1"/>
    </xf>
    <xf numFmtId="165" fontId="29" fillId="10" borderId="7" xfId="1" applyNumberFormat="1" applyFont="1" applyFill="1" applyBorder="1" applyAlignment="1">
      <alignment horizontal="center" vertical="center"/>
    </xf>
    <xf numFmtId="0" fontId="29" fillId="9" borderId="4" xfId="1" applyFont="1" applyFill="1" applyBorder="1" applyAlignment="1">
      <alignment horizontal="left" vertical="center"/>
    </xf>
    <xf numFmtId="165" fontId="29" fillId="9" borderId="4" xfId="2" applyNumberFormat="1" applyFont="1" applyFill="1" applyBorder="1" applyAlignment="1">
      <alignment horizontal="center" vertical="center" wrapText="1"/>
    </xf>
    <xf numFmtId="0" fontId="29" fillId="10" borderId="4" xfId="1" applyFont="1" applyFill="1" applyBorder="1" applyAlignment="1">
      <alignment horizontal="left" vertical="center"/>
    </xf>
    <xf numFmtId="0" fontId="29" fillId="9" borderId="4" xfId="1" applyNumberFormat="1" applyFont="1" applyFill="1" applyBorder="1" applyAlignment="1" applyProtection="1">
      <alignment horizontal="left" vertical="center"/>
    </xf>
    <xf numFmtId="0" fontId="30" fillId="9" borderId="4" xfId="1" applyFont="1" applyFill="1" applyBorder="1" applyAlignment="1">
      <alignment horizontal="left" vertical="center" wrapText="1"/>
    </xf>
    <xf numFmtId="0" fontId="29" fillId="10" borderId="4" xfId="1" applyNumberFormat="1" applyFont="1" applyFill="1" applyBorder="1" applyAlignment="1" applyProtection="1">
      <alignment horizontal="left" vertical="center"/>
    </xf>
    <xf numFmtId="0" fontId="30" fillId="10" borderId="4" xfId="1" applyFont="1" applyFill="1" applyBorder="1" applyAlignment="1">
      <alignment horizontal="left" vertical="center" wrapText="1"/>
    </xf>
    <xf numFmtId="165" fontId="30" fillId="9" borderId="4" xfId="1" applyNumberFormat="1" applyFont="1" applyFill="1" applyBorder="1" applyAlignment="1">
      <alignment horizontal="center" vertical="center"/>
    </xf>
    <xf numFmtId="165" fontId="30" fillId="10" borderId="4" xfId="1" applyNumberFormat="1" applyFont="1" applyFill="1" applyBorder="1" applyAlignment="1">
      <alignment horizontal="center" vertical="center"/>
    </xf>
    <xf numFmtId="0" fontId="26" fillId="0" borderId="0" xfId="1" applyFont="1"/>
    <xf numFmtId="0" fontId="31" fillId="9" borderId="4" xfId="0" applyFont="1" applyFill="1" applyBorder="1" applyAlignment="1">
      <alignment horizontal="left" vertical="center"/>
    </xf>
    <xf numFmtId="0" fontId="31" fillId="9" borderId="4" xfId="0" applyFont="1" applyFill="1" applyBorder="1" applyAlignment="1">
      <alignment vertical="center" wrapText="1"/>
    </xf>
    <xf numFmtId="165" fontId="31" fillId="9" borderId="4" xfId="0" applyNumberFormat="1" applyFont="1" applyFill="1" applyBorder="1" applyAlignment="1">
      <alignment horizontal="center" vertical="center"/>
    </xf>
    <xf numFmtId="0" fontId="9" fillId="9" borderId="0" xfId="1" applyFont="1" applyFill="1"/>
    <xf numFmtId="0" fontId="31" fillId="10" borderId="4" xfId="0" applyFont="1" applyFill="1" applyBorder="1" applyAlignment="1">
      <alignment horizontal="left" vertical="center"/>
    </xf>
    <xf numFmtId="0" fontId="31" fillId="10" borderId="4" xfId="0" applyFont="1" applyFill="1" applyBorder="1" applyAlignment="1">
      <alignment vertical="center" wrapText="1"/>
    </xf>
    <xf numFmtId="165" fontId="31" fillId="10" borderId="4" xfId="0" applyNumberFormat="1" applyFont="1" applyFill="1" applyBorder="1" applyAlignment="1">
      <alignment horizontal="center" vertical="center"/>
    </xf>
    <xf numFmtId="0" fontId="26" fillId="0" borderId="0" xfId="1" applyFont="1" applyAlignment="1"/>
    <xf numFmtId="165" fontId="27" fillId="15" borderId="11" xfId="1" applyNumberFormat="1" applyFont="1" applyFill="1" applyBorder="1" applyAlignment="1">
      <alignment horizontal="center" vertical="center" wrapText="1"/>
    </xf>
    <xf numFmtId="165" fontId="28" fillId="11" borderId="11" xfId="1" applyNumberFormat="1" applyFont="1" applyFill="1" applyBorder="1" applyAlignment="1">
      <alignment horizontal="center" vertical="center"/>
    </xf>
    <xf numFmtId="165" fontId="31" fillId="9" borderId="7" xfId="0" applyNumberFormat="1" applyFont="1" applyFill="1" applyBorder="1" applyAlignment="1">
      <alignment horizontal="center" vertical="center"/>
    </xf>
    <xf numFmtId="0" fontId="25" fillId="14" borderId="0" xfId="1" applyFont="1" applyFill="1"/>
    <xf numFmtId="0" fontId="9" fillId="14" borderId="0" xfId="1" applyFont="1" applyFill="1" applyAlignment="1">
      <alignment horizontal="center" vertical="center"/>
    </xf>
    <xf numFmtId="0" fontId="29" fillId="9" borderId="7" xfId="1" applyFont="1" applyFill="1" applyBorder="1" applyAlignment="1">
      <alignment horizontal="left" vertical="center" wrapText="1"/>
    </xf>
    <xf numFmtId="165" fontId="29" fillId="9" borderId="7" xfId="1" applyNumberFormat="1" applyFont="1" applyFill="1" applyBorder="1" applyAlignment="1">
      <alignment horizontal="center" vertical="center" wrapText="1"/>
    </xf>
    <xf numFmtId="165" fontId="29" fillId="9" borderId="7" xfId="1" applyNumberFormat="1" applyFont="1" applyFill="1" applyBorder="1" applyAlignment="1">
      <alignment horizontal="center" vertical="center"/>
    </xf>
    <xf numFmtId="0" fontId="25" fillId="0" borderId="0" xfId="1" applyFont="1"/>
    <xf numFmtId="0" fontId="12" fillId="14" borderId="0" xfId="1" applyFont="1" applyFill="1"/>
    <xf numFmtId="0" fontId="31" fillId="9" borderId="7" xfId="0" applyFont="1" applyFill="1" applyBorder="1" applyAlignment="1">
      <alignment horizontal="left" vertical="center"/>
    </xf>
    <xf numFmtId="0" fontId="31" fillId="9" borderId="7" xfId="0" applyFont="1" applyFill="1" applyBorder="1" applyAlignment="1">
      <alignment vertical="center" wrapText="1"/>
    </xf>
    <xf numFmtId="0" fontId="31" fillId="9" borderId="0" xfId="0" applyFont="1" applyFill="1" applyBorder="1" applyAlignment="1">
      <alignment horizontal="left" vertical="center"/>
    </xf>
    <xf numFmtId="0" fontId="31" fillId="9" borderId="0" xfId="0" applyFont="1" applyFill="1" applyBorder="1" applyAlignment="1">
      <alignment vertical="center" wrapText="1"/>
    </xf>
    <xf numFmtId="165" fontId="31" fillId="9" borderId="0" xfId="0" applyNumberFormat="1" applyFont="1" applyFill="1" applyBorder="1" applyAlignment="1">
      <alignment horizontal="center" vertical="center"/>
    </xf>
    <xf numFmtId="0" fontId="20" fillId="11" borderId="8" xfId="1" applyFont="1" applyFill="1" applyBorder="1" applyAlignment="1">
      <alignment horizontal="center" vertical="center" wrapText="1"/>
    </xf>
    <xf numFmtId="0" fontId="20" fillId="11" borderId="9" xfId="1" applyFont="1" applyFill="1" applyBorder="1" applyAlignment="1">
      <alignment horizontal="center" vertical="center" wrapText="1"/>
    </xf>
    <xf numFmtId="0" fontId="9" fillId="11" borderId="10" xfId="1" applyFont="1" applyFill="1" applyBorder="1"/>
    <xf numFmtId="0" fontId="26" fillId="0" borderId="0" xfId="1" applyFont="1" applyAlignment="1">
      <alignment horizontal="center" vertical="center"/>
    </xf>
    <xf numFmtId="0" fontId="29" fillId="9" borderId="7" xfId="1" applyFont="1" applyFill="1" applyBorder="1" applyAlignment="1">
      <alignment vertical="center" wrapText="1"/>
    </xf>
    <xf numFmtId="0" fontId="29" fillId="10" borderId="7" xfId="1" applyFont="1" applyFill="1" applyBorder="1" applyAlignment="1">
      <alignment horizontal="left" vertical="center" wrapText="1"/>
    </xf>
    <xf numFmtId="0" fontId="29" fillId="10" borderId="7" xfId="1" applyFont="1" applyFill="1" applyBorder="1" applyAlignment="1">
      <alignment vertical="center" wrapText="1"/>
    </xf>
    <xf numFmtId="165" fontId="29" fillId="10" borderId="7" xfId="1" applyNumberFormat="1" applyFont="1" applyFill="1" applyBorder="1" applyAlignment="1">
      <alignment horizontal="center" vertical="center" wrapText="1"/>
    </xf>
    <xf numFmtId="8" fontId="30" fillId="9" borderId="0" xfId="1" applyNumberFormat="1" applyFont="1" applyFill="1" applyBorder="1" applyAlignment="1">
      <alignment horizontal="center"/>
    </xf>
    <xf numFmtId="165" fontId="31" fillId="10" borderId="7" xfId="0" applyNumberFormat="1" applyFont="1" applyFill="1" applyBorder="1" applyAlignment="1">
      <alignment horizontal="center" vertical="center"/>
    </xf>
    <xf numFmtId="0" fontId="25" fillId="9" borderId="6" xfId="1" applyFont="1" applyFill="1" applyBorder="1"/>
    <xf numFmtId="0" fontId="30" fillId="9" borderId="0" xfId="1" applyFont="1" applyFill="1" applyBorder="1" applyAlignment="1">
      <alignment horizontal="left"/>
    </xf>
    <xf numFmtId="0" fontId="29" fillId="9" borderId="7" xfId="1" applyFont="1" applyFill="1" applyBorder="1" applyAlignment="1">
      <alignment horizontal="left" vertical="center"/>
    </xf>
    <xf numFmtId="0" fontId="0" fillId="0" borderId="0" xfId="0" applyAlignment="1">
      <alignment horizontal="left" vertical="center"/>
    </xf>
    <xf numFmtId="165" fontId="0" fillId="0" borderId="0" xfId="0" applyNumberFormat="1" applyAlignment="1">
      <alignment horizontal="center" vertical="center"/>
    </xf>
    <xf numFmtId="165" fontId="0" fillId="0" borderId="0" xfId="0" applyNumberFormat="1" applyBorder="1" applyAlignment="1">
      <alignment horizontal="center" vertical="center"/>
    </xf>
    <xf numFmtId="165" fontId="0" fillId="0" borderId="4" xfId="0" applyNumberFormat="1" applyBorder="1" applyAlignment="1">
      <alignment horizontal="center" vertical="center"/>
    </xf>
    <xf numFmtId="0" fontId="32" fillId="13" borderId="0" xfId="0" applyFont="1" applyFill="1"/>
    <xf numFmtId="0" fontId="0" fillId="10" borderId="0" xfId="0" applyFill="1" applyAlignment="1">
      <alignment horizontal="center"/>
    </xf>
    <xf numFmtId="0" fontId="10" fillId="0" borderId="0" xfId="0" applyFont="1"/>
    <xf numFmtId="0" fontId="33" fillId="0" borderId="0" xfId="0" applyFont="1" applyAlignment="1">
      <alignment horizontal="right"/>
    </xf>
    <xf numFmtId="166" fontId="10" fillId="0" borderId="0" xfId="0" applyNumberFormat="1" applyFont="1"/>
    <xf numFmtId="1" fontId="10" fillId="0" borderId="0" xfId="0" applyNumberFormat="1" applyFont="1"/>
    <xf numFmtId="0" fontId="10" fillId="0" borderId="0" xfId="0" applyFont="1" applyAlignment="1">
      <alignment horizontal="right"/>
    </xf>
    <xf numFmtId="0" fontId="33" fillId="0" borderId="0" xfId="0" applyFont="1"/>
    <xf numFmtId="165" fontId="32" fillId="13" borderId="0" xfId="0" applyNumberFormat="1" applyFont="1" applyFill="1"/>
    <xf numFmtId="0" fontId="0" fillId="0" borderId="0" xfId="0" applyFont="1"/>
    <xf numFmtId="0" fontId="1" fillId="2" borderId="0" xfId="0" applyFont="1" applyFill="1"/>
    <xf numFmtId="165" fontId="0" fillId="2" borderId="0" xfId="0" applyNumberFormat="1" applyFill="1"/>
    <xf numFmtId="0" fontId="1" fillId="10" borderId="0" xfId="0" applyFont="1" applyFill="1"/>
    <xf numFmtId="0" fontId="0" fillId="16" borderId="0" xfId="0" applyFill="1"/>
    <xf numFmtId="0" fontId="1" fillId="16" borderId="0" xfId="0" applyFont="1" applyFill="1" applyAlignment="1">
      <alignment horizontal="left"/>
    </xf>
    <xf numFmtId="0" fontId="1" fillId="16" borderId="0" xfId="0" applyFont="1" applyFill="1"/>
    <xf numFmtId="0" fontId="0" fillId="10" borderId="0" xfId="0" applyFont="1" applyFill="1"/>
    <xf numFmtId="0" fontId="1" fillId="10" borderId="0" xfId="0" applyFont="1" applyFill="1" applyAlignment="1">
      <alignment horizontal="center"/>
    </xf>
    <xf numFmtId="165" fontId="0" fillId="10" borderId="0" xfId="0" applyNumberFormat="1" applyFill="1"/>
    <xf numFmtId="0" fontId="1" fillId="0" borderId="0" xfId="0" applyFont="1" applyFill="1" applyAlignment="1">
      <alignment horizontal="center"/>
    </xf>
    <xf numFmtId="0" fontId="34" fillId="13" borderId="0" xfId="0" applyFont="1" applyFill="1"/>
    <xf numFmtId="165" fontId="34" fillId="13" borderId="0" xfId="0" applyNumberFormat="1" applyFont="1" applyFill="1"/>
    <xf numFmtId="0" fontId="0" fillId="0" borderId="0" xfId="0" applyAlignment="1">
      <alignment horizontal="left"/>
    </xf>
    <xf numFmtId="0" fontId="38" fillId="0" borderId="0" xfId="0" applyFont="1" applyAlignment="1">
      <alignment horizontal="left"/>
    </xf>
    <xf numFmtId="0" fontId="0" fillId="17" borderId="0" xfId="0" applyFill="1"/>
    <xf numFmtId="0" fontId="0" fillId="4" borderId="0" xfId="0" applyFill="1" applyAlignment="1" applyProtection="1">
      <alignment horizontal="center"/>
      <protection locked="0"/>
    </xf>
    <xf numFmtId="0" fontId="10" fillId="10" borderId="0" xfId="0" applyFont="1" applyFill="1" applyProtection="1">
      <protection locked="0"/>
    </xf>
    <xf numFmtId="0" fontId="0" fillId="10" borderId="0" xfId="0" applyFill="1" applyProtection="1">
      <protection locked="0"/>
    </xf>
    <xf numFmtId="0" fontId="1" fillId="12" borderId="0" xfId="0" applyFont="1" applyFill="1"/>
    <xf numFmtId="0" fontId="1" fillId="12" borderId="0" xfId="0" applyFont="1" applyFill="1" applyAlignment="1">
      <alignment horizontal="center"/>
    </xf>
    <xf numFmtId="165" fontId="1" fillId="12" borderId="0" xfId="0" applyNumberFormat="1" applyFont="1" applyFill="1"/>
    <xf numFmtId="165" fontId="41" fillId="3" borderId="0" xfId="0" applyNumberFormat="1" applyFont="1" applyFill="1"/>
    <xf numFmtId="0" fontId="41" fillId="3" borderId="0" xfId="0" applyFont="1" applyFill="1"/>
    <xf numFmtId="0" fontId="25" fillId="0" borderId="0" xfId="1" applyFont="1" applyAlignment="1">
      <alignment horizontal="left"/>
    </xf>
    <xf numFmtId="165" fontId="29" fillId="0" borderId="4" xfId="1" applyNumberFormat="1" applyFont="1" applyFill="1" applyBorder="1" applyAlignment="1">
      <alignment horizontal="center" vertical="center" wrapText="1"/>
    </xf>
    <xf numFmtId="0" fontId="0" fillId="0" borderId="0" xfId="0" applyFont="1" applyAlignment="1">
      <alignment horizontal="center"/>
    </xf>
    <xf numFmtId="0" fontId="0" fillId="4" borderId="0" xfId="0" applyFont="1" applyFill="1"/>
    <xf numFmtId="0" fontId="42" fillId="0" borderId="0" xfId="0" applyFont="1" applyAlignment="1">
      <alignment vertical="top" wrapText="1"/>
    </xf>
    <xf numFmtId="0" fontId="0" fillId="7" borderId="0" xfId="0" applyFont="1" applyFill="1"/>
    <xf numFmtId="0" fontId="42" fillId="7" borderId="0" xfId="0" applyFont="1" applyFill="1" applyAlignment="1">
      <alignment vertical="top" wrapText="1"/>
    </xf>
    <xf numFmtId="164" fontId="0" fillId="7" borderId="0" xfId="0" applyNumberFormat="1" applyFont="1" applyFill="1"/>
    <xf numFmtId="165" fontId="0" fillId="7" borderId="0" xfId="0" applyNumberFormat="1" applyFont="1" applyFill="1"/>
    <xf numFmtId="0" fontId="43" fillId="4" borderId="0" xfId="0" applyFont="1" applyFill="1" applyAlignment="1">
      <alignment vertical="top" wrapText="1"/>
    </xf>
    <xf numFmtId="0" fontId="42" fillId="7" borderId="0" xfId="0" applyFont="1" applyFill="1" applyAlignment="1">
      <alignment vertical="top"/>
    </xf>
    <xf numFmtId="0" fontId="42" fillId="0" borderId="0" xfId="0" applyFont="1" applyFill="1" applyAlignment="1">
      <alignment vertical="top"/>
    </xf>
    <xf numFmtId="9" fontId="0" fillId="7" borderId="0" xfId="0" applyNumberFormat="1" applyFont="1" applyFill="1"/>
    <xf numFmtId="0" fontId="45" fillId="7" borderId="0" xfId="1" applyFont="1" applyFill="1" applyBorder="1" applyAlignment="1">
      <alignment horizontal="left" vertical="center" wrapText="1"/>
    </xf>
    <xf numFmtId="0" fontId="0" fillId="7" borderId="0" xfId="0" applyFont="1" applyFill="1" applyBorder="1"/>
    <xf numFmtId="0" fontId="0" fillId="0" borderId="0" xfId="0" applyFont="1" applyBorder="1"/>
    <xf numFmtId="0" fontId="46" fillId="4" borderId="0" xfId="1" applyFont="1" applyFill="1" applyBorder="1" applyAlignment="1">
      <alignment horizontal="left" vertical="center" wrapText="1"/>
    </xf>
    <xf numFmtId="0" fontId="45" fillId="0" borderId="0" xfId="1" applyFont="1" applyFill="1" applyBorder="1" applyAlignment="1">
      <alignment horizontal="left" vertical="center" wrapText="1"/>
    </xf>
    <xf numFmtId="0" fontId="11" fillId="11" borderId="0" xfId="0" applyFont="1" applyFill="1" applyAlignment="1">
      <alignment horizontal="center" wrapText="1"/>
    </xf>
    <xf numFmtId="0" fontId="0" fillId="0" borderId="0" xfId="0" applyFont="1" applyAlignment="1">
      <alignment horizontal="center" wrapText="1"/>
    </xf>
    <xf numFmtId="0" fontId="0" fillId="7" borderId="0" xfId="0" applyFont="1" applyFill="1" applyAlignment="1">
      <alignment horizontal="center"/>
    </xf>
    <xf numFmtId="0" fontId="0" fillId="18" borderId="0" xfId="0" applyFont="1" applyFill="1"/>
    <xf numFmtId="0" fontId="42" fillId="18" borderId="0" xfId="0" applyFont="1" applyFill="1" applyAlignment="1">
      <alignment vertical="top" wrapText="1"/>
    </xf>
    <xf numFmtId="0" fontId="0" fillId="18" borderId="0" xfId="0" applyFont="1" applyFill="1" applyAlignment="1">
      <alignment horizontal="center"/>
    </xf>
    <xf numFmtId="164" fontId="0" fillId="18" borderId="0" xfId="0" applyNumberFormat="1" applyFont="1" applyFill="1"/>
    <xf numFmtId="0" fontId="45" fillId="18" borderId="0" xfId="1" applyFont="1" applyFill="1" applyBorder="1" applyAlignment="1">
      <alignment vertical="center" wrapText="1"/>
    </xf>
    <xf numFmtId="0" fontId="45" fillId="18" borderId="0" xfId="1" applyNumberFormat="1" applyFont="1" applyFill="1" applyBorder="1" applyAlignment="1" applyProtection="1">
      <alignment horizontal="left" vertical="center"/>
    </xf>
    <xf numFmtId="0" fontId="0" fillId="18" borderId="0" xfId="0" applyFont="1" applyFill="1" applyBorder="1"/>
    <xf numFmtId="165" fontId="0" fillId="18" borderId="0" xfId="0" applyNumberFormat="1" applyFont="1" applyFill="1"/>
    <xf numFmtId="0" fontId="42" fillId="18" borderId="0" xfId="0" applyFont="1" applyFill="1" applyAlignment="1">
      <alignment vertical="top"/>
    </xf>
    <xf numFmtId="0" fontId="45" fillId="18" borderId="0" xfId="1" applyFont="1" applyFill="1" applyBorder="1" applyAlignment="1">
      <alignment horizontal="left" vertical="center" wrapText="1"/>
    </xf>
    <xf numFmtId="9" fontId="0" fillId="18" borderId="0" xfId="0" applyNumberFormat="1" applyFont="1" applyFill="1"/>
    <xf numFmtId="0" fontId="1" fillId="2" borderId="0" xfId="0" applyFont="1" applyFill="1" applyAlignment="1">
      <alignment horizontal="center"/>
    </xf>
    <xf numFmtId="0" fontId="1" fillId="0" borderId="0" xfId="0" applyFont="1" applyAlignment="1">
      <alignment horizontal="center"/>
    </xf>
    <xf numFmtId="0" fontId="16" fillId="4" borderId="1" xfId="0" applyFont="1" applyFill="1" applyBorder="1" applyAlignment="1" applyProtection="1">
      <alignment horizontal="center" vertical="center"/>
      <protection locked="0"/>
    </xf>
    <xf numFmtId="0" fontId="16" fillId="4" borderId="3" xfId="0" applyFont="1" applyFill="1" applyBorder="1" applyAlignment="1" applyProtection="1">
      <alignment horizontal="center" vertical="center"/>
      <protection locked="0"/>
    </xf>
    <xf numFmtId="0" fontId="16" fillId="4" borderId="2" xfId="0" applyFont="1" applyFill="1" applyBorder="1" applyAlignment="1" applyProtection="1">
      <alignment horizontal="center" vertical="center"/>
      <protection locked="0"/>
    </xf>
    <xf numFmtId="0" fontId="6" fillId="7" borderId="0" xfId="0" applyFont="1" applyFill="1" applyAlignment="1">
      <alignment horizontal="center"/>
    </xf>
    <xf numFmtId="0" fontId="0" fillId="2" borderId="5" xfId="0" applyFill="1" applyBorder="1" applyAlignment="1">
      <alignment horizontal="center"/>
    </xf>
    <xf numFmtId="0" fontId="0" fillId="0" borderId="5" xfId="0" applyBorder="1" applyAlignment="1">
      <alignment horizontal="center"/>
    </xf>
    <xf numFmtId="0" fontId="35" fillId="12" borderId="6" xfId="0" applyFont="1" applyFill="1" applyBorder="1" applyAlignment="1" applyProtection="1">
      <alignment horizontal="left" vertical="center"/>
    </xf>
    <xf numFmtId="0" fontId="36" fillId="0" borderId="0" xfId="0" applyFont="1" applyAlignment="1"/>
    <xf numFmtId="0" fontId="24" fillId="14" borderId="0" xfId="1" applyFont="1" applyFill="1" applyBorder="1" applyAlignment="1">
      <alignment horizontal="left"/>
    </xf>
    <xf numFmtId="0" fontId="9" fillId="0" borderId="0" xfId="1" applyBorder="1" applyAlignment="1">
      <alignment horizontal="left"/>
    </xf>
    <xf numFmtId="0" fontId="25" fillId="0" borderId="0" xfId="1" applyFont="1" applyAlignment="1">
      <alignment horizontal="left"/>
    </xf>
    <xf numFmtId="0" fontId="26" fillId="9" borderId="0" xfId="1" applyFont="1" applyFill="1" applyBorder="1" applyAlignment="1">
      <alignment horizontal="center" vertical="center"/>
    </xf>
    <xf numFmtId="0" fontId="0" fillId="0" borderId="0" xfId="0" applyAlignment="1"/>
    <xf numFmtId="0" fontId="27" fillId="11" borderId="11" xfId="1" applyFont="1" applyFill="1" applyBorder="1" applyAlignment="1">
      <alignment horizontal="center" vertical="center"/>
    </xf>
    <xf numFmtId="0" fontId="0" fillId="0" borderId="11" xfId="0" applyBorder="1" applyAlignment="1">
      <alignment horizontal="center" vertical="center"/>
    </xf>
    <xf numFmtId="0" fontId="23" fillId="14" borderId="0" xfId="1" applyFont="1" applyFill="1" applyBorder="1" applyAlignment="1">
      <alignment horizontal="center" vertical="center"/>
    </xf>
    <xf numFmtId="0" fontId="0" fillId="0" borderId="0" xfId="0" applyAlignment="1">
      <alignment horizontal="center" vertical="center"/>
    </xf>
    <xf numFmtId="0" fontId="19" fillId="14" borderId="0" xfId="1" applyFont="1" applyFill="1" applyBorder="1" applyAlignment="1">
      <alignment horizontal="center" vertical="center"/>
    </xf>
    <xf numFmtId="0" fontId="29" fillId="0" borderId="0" xfId="1" applyFont="1" applyAlignment="1">
      <alignment horizontal="justify"/>
    </xf>
    <xf numFmtId="0" fontId="9" fillId="0" borderId="0" xfId="1" applyAlignment="1"/>
    <xf numFmtId="0" fontId="27" fillId="11" borderId="13" xfId="1" applyFont="1" applyFill="1" applyBorder="1" applyAlignment="1">
      <alignment horizontal="center" vertical="center" wrapText="1"/>
    </xf>
    <xf numFmtId="0" fontId="0" fillId="0" borderId="12" xfId="0" applyBorder="1" applyAlignment="1"/>
    <xf numFmtId="0" fontId="20" fillId="11" borderId="8" xfId="1" applyFont="1" applyFill="1" applyBorder="1" applyAlignment="1">
      <alignment horizontal="center" vertical="center"/>
    </xf>
    <xf numFmtId="0" fontId="0" fillId="0" borderId="9" xfId="0" applyBorder="1" applyAlignment="1"/>
    <xf numFmtId="0" fontId="0" fillId="0" borderId="10" xfId="0" applyBorder="1" applyAlignment="1"/>
    <xf numFmtId="0" fontId="25" fillId="0" borderId="0" xfId="1" applyFont="1" applyAlignment="1">
      <alignment horizontal="justify"/>
    </xf>
    <xf numFmtId="0" fontId="44" fillId="0" borderId="0" xfId="1" applyFont="1" applyFill="1" applyBorder="1" applyAlignment="1">
      <alignment vertical="center" wrapText="1"/>
    </xf>
    <xf numFmtId="0" fontId="13" fillId="0" borderId="0" xfId="0" applyFont="1" applyFill="1" applyBorder="1" applyAlignment="1"/>
    <xf numFmtId="0" fontId="14" fillId="0" borderId="0" xfId="0" applyFont="1" applyAlignment="1">
      <alignment horizontal="left" vertical="center" indent="2"/>
    </xf>
    <xf numFmtId="0" fontId="0" fillId="0" borderId="0" xfId="0" applyAlignment="1">
      <alignment horizontal="left" vertical="center" indent="2"/>
    </xf>
  </cellXfs>
  <cellStyles count="3">
    <cellStyle name="Currency" xfId="2" builtinId="4"/>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0</xdr:row>
      <xdr:rowOff>114300</xdr:rowOff>
    </xdr:from>
    <xdr:to>
      <xdr:col>3</xdr:col>
      <xdr:colOff>704850</xdr:colOff>
      <xdr:row>3</xdr:row>
      <xdr:rowOff>102622</xdr:rowOff>
    </xdr:to>
    <xdr:pic>
      <xdr:nvPicPr>
        <xdr:cNvPr id="6" name="Picture 5" descr="AClogo.jpg"/>
        <xdr:cNvPicPr>
          <a:picLocks noChangeAspect="1"/>
        </xdr:cNvPicPr>
      </xdr:nvPicPr>
      <xdr:blipFill>
        <a:blip xmlns:r="http://schemas.openxmlformats.org/officeDocument/2006/relationships" r:embed="rId1" cstate="print"/>
        <a:stretch>
          <a:fillRect/>
        </a:stretch>
      </xdr:blipFill>
      <xdr:spPr>
        <a:xfrm>
          <a:off x="428625" y="114300"/>
          <a:ext cx="2076450" cy="73127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609600</xdr:colOff>
      <xdr:row>1</xdr:row>
      <xdr:rowOff>390525</xdr:rowOff>
    </xdr:to>
    <xdr:pic>
      <xdr:nvPicPr>
        <xdr:cNvPr id="2"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1990725" cy="561975"/>
        </a:xfrm>
        <a:prstGeom prst="rect">
          <a:avLst/>
        </a:prstGeom>
        <a:noFill/>
        <a:ln w="9525">
          <a:noFill/>
          <a:miter lim="800000"/>
          <a:headEnd/>
          <a:tailEnd/>
        </a:ln>
      </xdr:spPr>
    </xdr:pic>
    <xdr:clientData/>
  </xdr:twoCellAnchor>
  <xdr:twoCellAnchor editAs="oneCell">
    <xdr:from>
      <xdr:col>3</xdr:col>
      <xdr:colOff>85725</xdr:colOff>
      <xdr:row>1</xdr:row>
      <xdr:rowOff>66675</xdr:rowOff>
    </xdr:from>
    <xdr:to>
      <xdr:col>3</xdr:col>
      <xdr:colOff>609600</xdr:colOff>
      <xdr:row>2</xdr:row>
      <xdr:rowOff>57150</xdr:rowOff>
    </xdr:to>
    <xdr:pic>
      <xdr:nvPicPr>
        <xdr:cNvPr id="3"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25075" y="247650"/>
          <a:ext cx="800100" cy="514350"/>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610407</xdr:colOff>
      <xdr:row>2</xdr:row>
      <xdr:rowOff>180975</xdr:rowOff>
    </xdr:to>
    <xdr:pic>
      <xdr:nvPicPr>
        <xdr:cNvPr id="5"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2058207" cy="876300"/>
        </a:xfrm>
        <a:prstGeom prst="rect">
          <a:avLst/>
        </a:prstGeom>
        <a:noFill/>
        <a:ln w="9525">
          <a:noFill/>
          <a:miter lim="800000"/>
          <a:headEnd/>
          <a:tailEnd/>
        </a:ln>
      </xdr:spPr>
    </xdr:pic>
    <xdr:clientData/>
  </xdr:twoCellAnchor>
  <xdr:twoCellAnchor editAs="oneCell">
    <xdr:from>
      <xdr:col>0</xdr:col>
      <xdr:colOff>25400</xdr:colOff>
      <xdr:row>84</xdr:row>
      <xdr:rowOff>0</xdr:rowOff>
    </xdr:from>
    <xdr:to>
      <xdr:col>0</xdr:col>
      <xdr:colOff>607232</xdr:colOff>
      <xdr:row>84</xdr:row>
      <xdr:rowOff>425450</xdr:rowOff>
    </xdr:to>
    <xdr:pic>
      <xdr:nvPicPr>
        <xdr:cNvPr id="6"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25400" y="38966775"/>
          <a:ext cx="2058207" cy="873125"/>
        </a:xfrm>
        <a:prstGeom prst="rect">
          <a:avLst/>
        </a:prstGeom>
        <a:noFill/>
        <a:ln w="9525">
          <a:noFill/>
          <a:miter lim="800000"/>
          <a:headEnd/>
          <a:tailEnd/>
        </a:ln>
      </xdr:spPr>
    </xdr:pic>
    <xdr:clientData/>
  </xdr:twoCellAnchor>
  <xdr:twoCellAnchor editAs="oneCell">
    <xdr:from>
      <xdr:col>0</xdr:col>
      <xdr:colOff>73026</xdr:colOff>
      <xdr:row>26</xdr:row>
      <xdr:rowOff>104775</xdr:rowOff>
    </xdr:from>
    <xdr:to>
      <xdr:col>0</xdr:col>
      <xdr:colOff>609601</xdr:colOff>
      <xdr:row>27</xdr:row>
      <xdr:rowOff>295274</xdr:rowOff>
    </xdr:to>
    <xdr:pic>
      <xdr:nvPicPr>
        <xdr:cNvPr id="7"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73026" y="18916650"/>
          <a:ext cx="1974850" cy="838199"/>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2000250</xdr:colOff>
      <xdr:row>1</xdr:row>
      <xdr:rowOff>390525</xdr:rowOff>
    </xdr:to>
    <xdr:pic>
      <xdr:nvPicPr>
        <xdr:cNvPr id="14"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1990725" cy="561975"/>
        </a:xfrm>
        <a:prstGeom prst="rect">
          <a:avLst/>
        </a:prstGeom>
        <a:noFill/>
        <a:ln w="9525">
          <a:noFill/>
          <a:miter lim="800000"/>
          <a:headEnd/>
          <a:tailEnd/>
        </a:ln>
      </xdr:spPr>
    </xdr:pic>
    <xdr:clientData/>
  </xdr:twoCellAnchor>
  <xdr:twoCellAnchor editAs="oneCell">
    <xdr:from>
      <xdr:col>3</xdr:col>
      <xdr:colOff>85725</xdr:colOff>
      <xdr:row>1</xdr:row>
      <xdr:rowOff>66675</xdr:rowOff>
    </xdr:from>
    <xdr:to>
      <xdr:col>3</xdr:col>
      <xdr:colOff>885825</xdr:colOff>
      <xdr:row>2</xdr:row>
      <xdr:rowOff>57150</xdr:rowOff>
    </xdr:to>
    <xdr:pic>
      <xdr:nvPicPr>
        <xdr:cNvPr id="15"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25075" y="247650"/>
          <a:ext cx="800100" cy="514350"/>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2067732</xdr:colOff>
      <xdr:row>2</xdr:row>
      <xdr:rowOff>180975</xdr:rowOff>
    </xdr:to>
    <xdr:pic>
      <xdr:nvPicPr>
        <xdr:cNvPr id="17"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2058207" cy="876300"/>
        </a:xfrm>
        <a:prstGeom prst="rect">
          <a:avLst/>
        </a:prstGeom>
        <a:noFill/>
        <a:ln w="9525">
          <a:noFill/>
          <a:miter lim="800000"/>
          <a:headEnd/>
          <a:tailEnd/>
        </a:ln>
      </xdr:spPr>
    </xdr:pic>
    <xdr:clientData/>
  </xdr:twoCellAnchor>
  <xdr:twoCellAnchor editAs="oneCell">
    <xdr:from>
      <xdr:col>0</xdr:col>
      <xdr:colOff>25400</xdr:colOff>
      <xdr:row>84</xdr:row>
      <xdr:rowOff>0</xdr:rowOff>
    </xdr:from>
    <xdr:to>
      <xdr:col>0</xdr:col>
      <xdr:colOff>2083607</xdr:colOff>
      <xdr:row>86</xdr:row>
      <xdr:rowOff>44450</xdr:rowOff>
    </xdr:to>
    <xdr:pic>
      <xdr:nvPicPr>
        <xdr:cNvPr id="18"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25400" y="40262175"/>
          <a:ext cx="2058207" cy="873125"/>
        </a:xfrm>
        <a:prstGeom prst="rect">
          <a:avLst/>
        </a:prstGeom>
        <a:noFill/>
        <a:ln w="9525">
          <a:noFill/>
          <a:miter lim="800000"/>
          <a:headEnd/>
          <a:tailEnd/>
        </a:ln>
      </xdr:spPr>
    </xdr:pic>
    <xdr:clientData/>
  </xdr:twoCellAnchor>
  <xdr:twoCellAnchor editAs="oneCell">
    <xdr:from>
      <xdr:col>0</xdr:col>
      <xdr:colOff>73026</xdr:colOff>
      <xdr:row>26</xdr:row>
      <xdr:rowOff>104775</xdr:rowOff>
    </xdr:from>
    <xdr:to>
      <xdr:col>0</xdr:col>
      <xdr:colOff>2047876</xdr:colOff>
      <xdr:row>28</xdr:row>
      <xdr:rowOff>95249</xdr:rowOff>
    </xdr:to>
    <xdr:pic>
      <xdr:nvPicPr>
        <xdr:cNvPr id="19"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73026" y="18916650"/>
          <a:ext cx="1974850" cy="838199"/>
        </a:xfrm>
        <a:prstGeom prst="rect">
          <a:avLst/>
        </a:prstGeom>
        <a:noFill/>
        <a:ln w="9525">
          <a:noFill/>
          <a:miter lim="800000"/>
          <a:headEnd/>
          <a:tailEnd/>
        </a:ln>
      </xdr:spPr>
    </xdr:pic>
    <xdr:clientData/>
  </xdr:twoCellAnchor>
  <xdr:twoCellAnchor editAs="oneCell">
    <xdr:from>
      <xdr:col>3</xdr:col>
      <xdr:colOff>0</xdr:colOff>
      <xdr:row>84</xdr:row>
      <xdr:rowOff>180975</xdr:rowOff>
    </xdr:from>
    <xdr:to>
      <xdr:col>4</xdr:col>
      <xdr:colOff>18166</xdr:colOff>
      <xdr:row>85</xdr:row>
      <xdr:rowOff>180975</xdr:rowOff>
    </xdr:to>
    <xdr:pic>
      <xdr:nvPicPr>
        <xdr:cNvPr id="22" name="Picture 21"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030709" y="34366200"/>
          <a:ext cx="1113541" cy="428625"/>
        </a:xfrm>
        <a:prstGeom prst="rect">
          <a:avLst/>
        </a:prstGeom>
        <a:noFill/>
        <a:ln w="9525">
          <a:noFill/>
          <a:miter lim="800000"/>
          <a:headEnd/>
          <a:tailEnd/>
        </a:ln>
      </xdr:spPr>
    </xdr:pic>
    <xdr:clientData/>
  </xdr:twoCellAnchor>
  <xdr:twoCellAnchor editAs="oneCell">
    <xdr:from>
      <xdr:col>3</xdr:col>
      <xdr:colOff>123825</xdr:colOff>
      <xdr:row>26</xdr:row>
      <xdr:rowOff>171450</xdr:rowOff>
    </xdr:from>
    <xdr:to>
      <xdr:col>3</xdr:col>
      <xdr:colOff>923925</xdr:colOff>
      <xdr:row>28</xdr:row>
      <xdr:rowOff>47625</xdr:rowOff>
    </xdr:to>
    <xdr:pic>
      <xdr:nvPicPr>
        <xdr:cNvPr id="24"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63175" y="18030825"/>
          <a:ext cx="800100" cy="4857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619125</xdr:colOff>
      <xdr:row>0</xdr:row>
      <xdr:rowOff>66675</xdr:rowOff>
    </xdr:from>
    <xdr:to>
      <xdr:col>5</xdr:col>
      <xdr:colOff>1790703</xdr:colOff>
      <xdr:row>0</xdr:row>
      <xdr:rowOff>551606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7296150" y="66675"/>
          <a:ext cx="1171578" cy="484931"/>
        </a:xfrm>
        <a:prstGeom prst="rect">
          <a:avLst/>
        </a:prstGeom>
      </xdr:spPr>
    </xdr:pic>
    <xdr:clientData/>
  </xdr:twoCellAnchor>
  <xdr:twoCellAnchor editAs="oneCell">
    <xdr:from>
      <xdr:col>5</xdr:col>
      <xdr:colOff>409574</xdr:colOff>
      <xdr:row>15</xdr:row>
      <xdr:rowOff>6095</xdr:rowOff>
    </xdr:from>
    <xdr:to>
      <xdr:col>6</xdr:col>
      <xdr:colOff>19049</xdr:colOff>
      <xdr:row>21</xdr:row>
      <xdr:rowOff>9524</xdr:rowOff>
    </xdr:to>
    <xdr:pic>
      <xdr:nvPicPr>
        <xdr:cNvPr id="2" name="Picture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7153274" y="3425570"/>
          <a:ext cx="1457325" cy="114642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D32"/>
  <sheetViews>
    <sheetView tabSelected="1" workbookViewId="0">
      <selection activeCell="D5" sqref="D5"/>
    </sheetView>
  </sheetViews>
  <sheetFormatPr defaultRowHeight="15"/>
  <cols>
    <col min="2" max="2" width="64" customWidth="1"/>
    <col min="4" max="4" width="62.140625" customWidth="1"/>
  </cols>
  <sheetData>
    <row r="1" spans="1:4" ht="23.25">
      <c r="B1" s="147" t="s">
        <v>256</v>
      </c>
    </row>
    <row r="2" spans="1:4">
      <c r="B2" s="146"/>
    </row>
    <row r="3" spans="1:4">
      <c r="A3">
        <v>1</v>
      </c>
      <c r="B3" t="s">
        <v>255</v>
      </c>
    </row>
    <row r="4" spans="1:4" ht="21">
      <c r="A4">
        <v>2</v>
      </c>
      <c r="B4" s="26" t="s">
        <v>257</v>
      </c>
      <c r="C4" s="23"/>
    </row>
    <row r="5" spans="1:4">
      <c r="A5">
        <v>3</v>
      </c>
      <c r="B5" t="s">
        <v>259</v>
      </c>
      <c r="D5" t="s">
        <v>301</v>
      </c>
    </row>
    <row r="6" spans="1:4">
      <c r="A6">
        <v>4</v>
      </c>
      <c r="B6" t="s">
        <v>258</v>
      </c>
    </row>
    <row r="7" spans="1:4">
      <c r="B7" t="s">
        <v>260</v>
      </c>
    </row>
    <row r="8" spans="1:4">
      <c r="B8" t="s">
        <v>261</v>
      </c>
    </row>
    <row r="9" spans="1:4">
      <c r="A9">
        <v>5</v>
      </c>
      <c r="B9" t="s">
        <v>262</v>
      </c>
    </row>
    <row r="10" spans="1:4">
      <c r="B10" t="s">
        <v>269</v>
      </c>
    </row>
    <row r="11" spans="1:4">
      <c r="A11" s="148"/>
      <c r="B11" t="s">
        <v>285</v>
      </c>
    </row>
    <row r="12" spans="1:4">
      <c r="B12" t="s">
        <v>263</v>
      </c>
    </row>
    <row r="13" spans="1:4">
      <c r="B13" t="s">
        <v>264</v>
      </c>
    </row>
    <row r="14" spans="1:4">
      <c r="A14">
        <v>6</v>
      </c>
      <c r="B14" t="s">
        <v>265</v>
      </c>
    </row>
    <row r="15" spans="1:4">
      <c r="A15" s="148"/>
      <c r="B15" t="s">
        <v>286</v>
      </c>
      <c r="D15" s="38" t="s">
        <v>288</v>
      </c>
    </row>
    <row r="16" spans="1:4">
      <c r="A16">
        <v>7</v>
      </c>
      <c r="B16" t="s">
        <v>266</v>
      </c>
      <c r="D16" t="s">
        <v>268</v>
      </c>
    </row>
    <row r="17" spans="1:4">
      <c r="A17">
        <v>8</v>
      </c>
      <c r="B17" t="s">
        <v>267</v>
      </c>
      <c r="D17" t="s">
        <v>268</v>
      </c>
    </row>
    <row r="18" spans="1:4">
      <c r="A18">
        <v>9</v>
      </c>
      <c r="B18" t="s">
        <v>270</v>
      </c>
      <c r="D18" t="s">
        <v>268</v>
      </c>
    </row>
    <row r="19" spans="1:4">
      <c r="A19">
        <v>10</v>
      </c>
      <c r="B19" t="s">
        <v>271</v>
      </c>
    </row>
    <row r="20" spans="1:4">
      <c r="B20" t="s">
        <v>272</v>
      </c>
    </row>
    <row r="21" spans="1:4">
      <c r="A21">
        <v>11</v>
      </c>
      <c r="B21" t="s">
        <v>273</v>
      </c>
    </row>
    <row r="22" spans="1:4">
      <c r="B22" t="s">
        <v>274</v>
      </c>
    </row>
    <row r="23" spans="1:4">
      <c r="B23" t="s">
        <v>275</v>
      </c>
    </row>
    <row r="24" spans="1:4">
      <c r="B24" t="s">
        <v>276</v>
      </c>
    </row>
    <row r="25" spans="1:4">
      <c r="B25" t="s">
        <v>277</v>
      </c>
    </row>
    <row r="26" spans="1:4">
      <c r="B26" t="s">
        <v>278</v>
      </c>
    </row>
    <row r="27" spans="1:4">
      <c r="B27" t="s">
        <v>279</v>
      </c>
    </row>
    <row r="28" spans="1:4">
      <c r="B28" t="s">
        <v>280</v>
      </c>
    </row>
    <row r="29" spans="1:4">
      <c r="B29" t="s">
        <v>281</v>
      </c>
    </row>
    <row r="30" spans="1:4">
      <c r="B30" t="s">
        <v>284</v>
      </c>
    </row>
    <row r="31" spans="1:4">
      <c r="B31" t="s">
        <v>282</v>
      </c>
    </row>
    <row r="32" spans="1:4">
      <c r="B32" t="s">
        <v>283</v>
      </c>
    </row>
  </sheetData>
  <sheetProtection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I40"/>
  <sheetViews>
    <sheetView workbookViewId="0">
      <selection activeCell="I21" sqref="I21"/>
    </sheetView>
  </sheetViews>
  <sheetFormatPr defaultRowHeight="15" outlineLevelRow="1"/>
  <cols>
    <col min="1" max="1" width="20.5703125" customWidth="1"/>
    <col min="2" max="2" width="33.42578125" customWidth="1"/>
    <col min="3" max="3" width="12.5703125" customWidth="1"/>
    <col min="4" max="4" width="16" customWidth="1"/>
    <col min="5" max="5" width="11" customWidth="1"/>
    <col min="6" max="6" width="18.140625" customWidth="1"/>
    <col min="7" max="7" width="16.42578125" hidden="1" customWidth="1"/>
    <col min="8" max="8" width="18.85546875" customWidth="1"/>
  </cols>
  <sheetData>
    <row r="1" spans="1:9" s="32" customFormat="1" ht="23.25" customHeight="1">
      <c r="A1" s="197" t="s">
        <v>303</v>
      </c>
      <c r="B1" s="198"/>
      <c r="C1" s="198"/>
      <c r="D1" s="198"/>
      <c r="F1" s="191">
        <v>0</v>
      </c>
      <c r="G1" s="192"/>
      <c r="H1" s="193"/>
    </row>
    <row r="2" spans="1:9" s="32" customFormat="1">
      <c r="A2" s="33"/>
      <c r="B2" s="34"/>
      <c r="F2" s="35" t="s">
        <v>304</v>
      </c>
      <c r="G2" s="35" t="s">
        <v>58</v>
      </c>
      <c r="H2" s="35" t="s">
        <v>56</v>
      </c>
    </row>
    <row r="3" spans="1:9" s="5" customFormat="1">
      <c r="A3" s="1"/>
      <c r="B3" s="2" t="s">
        <v>0</v>
      </c>
      <c r="C3" s="3" t="s">
        <v>1</v>
      </c>
      <c r="D3" s="1" t="s">
        <v>2</v>
      </c>
      <c r="E3" s="4"/>
      <c r="F3" s="195" t="s">
        <v>55</v>
      </c>
      <c r="G3" s="196"/>
      <c r="H3" s="196"/>
    </row>
    <row r="4" spans="1:9">
      <c r="A4" t="s">
        <v>3</v>
      </c>
      <c r="B4" s="6" t="s">
        <v>4</v>
      </c>
      <c r="C4" s="7" t="s">
        <v>5</v>
      </c>
      <c r="D4" s="8">
        <v>999</v>
      </c>
      <c r="F4" s="41">
        <v>0</v>
      </c>
      <c r="G4" s="41">
        <v>0</v>
      </c>
      <c r="H4" s="41">
        <v>0.65</v>
      </c>
    </row>
    <row r="5" spans="1:9" hidden="1" outlineLevel="1">
      <c r="A5" t="s">
        <v>35</v>
      </c>
      <c r="B5" s="6" t="s">
        <v>6</v>
      </c>
      <c r="C5" s="7" t="s">
        <v>5</v>
      </c>
      <c r="D5" s="8">
        <v>395</v>
      </c>
    </row>
    <row r="6" spans="1:9" hidden="1" outlineLevel="1">
      <c r="A6" t="s">
        <v>289</v>
      </c>
      <c r="B6" s="26" t="s">
        <v>290</v>
      </c>
      <c r="C6" s="7" t="s">
        <v>5</v>
      </c>
      <c r="D6" s="8">
        <v>395</v>
      </c>
    </row>
    <row r="7" spans="1:9" hidden="1" outlineLevel="1">
      <c r="A7" t="s">
        <v>7</v>
      </c>
      <c r="B7" s="6" t="s">
        <v>8</v>
      </c>
      <c r="C7" s="7" t="s">
        <v>5</v>
      </c>
      <c r="D7" s="8">
        <v>995</v>
      </c>
      <c r="I7" s="28"/>
    </row>
    <row r="8" spans="1:9" hidden="1" outlineLevel="1">
      <c r="A8" t="s">
        <v>9</v>
      </c>
      <c r="B8" s="6" t="s">
        <v>10</v>
      </c>
      <c r="C8" s="7" t="s">
        <v>5</v>
      </c>
      <c r="D8" s="8">
        <v>3950</v>
      </c>
    </row>
    <row r="9" spans="1:9" hidden="1" outlineLevel="1">
      <c r="A9" t="s">
        <v>11</v>
      </c>
      <c r="B9" s="6" t="s">
        <v>12</v>
      </c>
      <c r="C9" s="7" t="s">
        <v>13</v>
      </c>
      <c r="D9" s="8">
        <v>750</v>
      </c>
    </row>
    <row r="10" spans="1:9" hidden="1" outlineLevel="1">
      <c r="A10" t="s">
        <v>14</v>
      </c>
      <c r="B10" s="6" t="s">
        <v>15</v>
      </c>
      <c r="C10" s="7" t="s">
        <v>13</v>
      </c>
      <c r="D10" s="8">
        <v>500</v>
      </c>
    </row>
    <row r="11" spans="1:9" ht="15.75" hidden="1" outlineLevel="1">
      <c r="A11" s="194" t="s">
        <v>29</v>
      </c>
      <c r="B11" s="194"/>
      <c r="C11" s="194"/>
      <c r="D11" s="194"/>
    </row>
    <row r="12" spans="1:9" hidden="1" outlineLevel="1">
      <c r="A12" s="26" t="s">
        <v>24</v>
      </c>
      <c r="B12" s="26" t="s">
        <v>57</v>
      </c>
      <c r="C12" s="40" t="s">
        <v>5</v>
      </c>
      <c r="D12" s="39">
        <f>(D4+D5+D7+(3*D9))*0.8</f>
        <v>3711.2000000000003</v>
      </c>
    </row>
    <row r="13" spans="1:9" hidden="1" outlineLevel="1">
      <c r="A13" s="26" t="s">
        <v>25</v>
      </c>
      <c r="B13" s="26" t="s">
        <v>27</v>
      </c>
      <c r="C13" s="40" t="s">
        <v>5</v>
      </c>
      <c r="D13" s="39">
        <f>((D4*5)*0.8)</f>
        <v>3996</v>
      </c>
    </row>
    <row r="14" spans="1:9" hidden="1" outlineLevel="1">
      <c r="A14" s="26" t="s">
        <v>26</v>
      </c>
      <c r="B14" s="26" t="s">
        <v>28</v>
      </c>
      <c r="C14" s="40" t="s">
        <v>5</v>
      </c>
      <c r="D14" s="39">
        <f>((D4*10)*0.8)</f>
        <v>7992</v>
      </c>
    </row>
    <row r="15" spans="1:9" collapsed="1">
      <c r="A15" s="189" t="s">
        <v>23</v>
      </c>
      <c r="B15" s="190"/>
      <c r="C15" s="190"/>
      <c r="D15" s="190"/>
      <c r="E15" s="190"/>
      <c r="F15" s="36"/>
      <c r="G15" s="36"/>
      <c r="H15" s="36"/>
    </row>
    <row r="16" spans="1:9">
      <c r="A16" s="9"/>
      <c r="B16" s="9"/>
      <c r="C16" s="10" t="s">
        <v>16</v>
      </c>
      <c r="D16" s="10" t="s">
        <v>61</v>
      </c>
      <c r="E16" s="9"/>
      <c r="F16" s="9"/>
      <c r="G16" s="9"/>
      <c r="H16" s="9"/>
    </row>
    <row r="17" spans="1:8" ht="15.75">
      <c r="A17" s="194" t="s">
        <v>29</v>
      </c>
      <c r="B17" s="194"/>
      <c r="C17" s="194"/>
      <c r="D17" s="194"/>
      <c r="E17" s="37"/>
      <c r="F17" s="30"/>
      <c r="G17" s="30"/>
      <c r="H17" s="30"/>
    </row>
    <row r="18" spans="1:8">
      <c r="A18" s="21" t="s">
        <v>24</v>
      </c>
      <c r="B18" s="21" t="s">
        <v>57</v>
      </c>
      <c r="C18" s="149">
        <v>0</v>
      </c>
      <c r="D18" s="22">
        <f>C18*D12</f>
        <v>0</v>
      </c>
      <c r="E18" s="21"/>
      <c r="F18" s="22">
        <f>$D$12*$C$18</f>
        <v>0</v>
      </c>
      <c r="G18" s="22">
        <f>($D$12*$C$18)*(1-G4)</f>
        <v>0</v>
      </c>
      <c r="H18" s="22">
        <f>($D$12*$C$18)*(1-H4)</f>
        <v>0</v>
      </c>
    </row>
    <row r="19" spans="1:8">
      <c r="A19" s="21" t="s">
        <v>25</v>
      </c>
      <c r="B19" s="21" t="s">
        <v>27</v>
      </c>
      <c r="C19" s="149">
        <v>0</v>
      </c>
      <c r="D19" s="22">
        <f>C19*D13</f>
        <v>0</v>
      </c>
      <c r="E19" s="21"/>
      <c r="F19" s="22">
        <f>$D$13*$C$19</f>
        <v>0</v>
      </c>
      <c r="G19" s="22">
        <f>($D$13*$C$19)*(1-G4)</f>
        <v>0</v>
      </c>
      <c r="H19" s="22">
        <f>($D$13*$C$19)*(1-H4)</f>
        <v>0</v>
      </c>
    </row>
    <row r="20" spans="1:8">
      <c r="A20" s="21" t="s">
        <v>26</v>
      </c>
      <c r="B20" s="21" t="s">
        <v>28</v>
      </c>
      <c r="C20" s="149">
        <v>0</v>
      </c>
      <c r="D20" s="22">
        <f>C20*D14</f>
        <v>0</v>
      </c>
      <c r="E20" s="21"/>
      <c r="F20" s="22">
        <f>$D$14*$C$20</f>
        <v>0</v>
      </c>
      <c r="G20" s="22">
        <f>($D$14*$C$20)*(1-G4)</f>
        <v>0</v>
      </c>
      <c r="H20" s="22">
        <f>($D$14*$C$20)*(1-H4)</f>
        <v>0</v>
      </c>
    </row>
    <row r="21" spans="1:8" ht="15.75">
      <c r="A21" s="194" t="s">
        <v>59</v>
      </c>
      <c r="B21" s="194"/>
      <c r="C21" s="194"/>
      <c r="D21" s="194"/>
      <c r="E21" s="37"/>
      <c r="F21" s="30"/>
      <c r="G21" s="30"/>
      <c r="H21" s="30"/>
    </row>
    <row r="22" spans="1:8">
      <c r="A22" s="9" t="s">
        <v>3</v>
      </c>
      <c r="B22" s="20" t="s">
        <v>4</v>
      </c>
      <c r="C22" s="149">
        <v>0</v>
      </c>
      <c r="D22" s="12">
        <f>D4*C22</f>
        <v>0</v>
      </c>
      <c r="E22" s="9"/>
      <c r="F22" s="12">
        <f>$D$4*$C$22</f>
        <v>0</v>
      </c>
      <c r="G22" s="12">
        <f>IF(C22+0,($D$4*$C$22+C22)*(1-G4),0)</f>
        <v>0</v>
      </c>
      <c r="H22" s="12">
        <f>IF(C22&gt;0,($D$4*$C$22+C22)*(1-H4),0)</f>
        <v>0</v>
      </c>
    </row>
    <row r="23" spans="1:8">
      <c r="A23" s="9" t="s">
        <v>35</v>
      </c>
      <c r="B23" s="20" t="s">
        <v>46</v>
      </c>
      <c r="C23" s="149">
        <v>0</v>
      </c>
      <c r="D23" s="12">
        <f>D5*C23</f>
        <v>0</v>
      </c>
      <c r="E23" s="9"/>
      <c r="F23" s="12">
        <f>$D$5*$C$23</f>
        <v>0</v>
      </c>
      <c r="G23" s="12">
        <f>($D$5*$C$23)*(1-G4)</f>
        <v>0</v>
      </c>
      <c r="H23" s="12">
        <f>($D$5*$C$23)*(1-H4)</f>
        <v>0</v>
      </c>
    </row>
    <row r="24" spans="1:8">
      <c r="A24" s="9" t="s">
        <v>289</v>
      </c>
      <c r="B24" s="9" t="s">
        <v>290</v>
      </c>
      <c r="C24" s="149">
        <v>0</v>
      </c>
      <c r="D24" s="12">
        <f>D6*C24</f>
        <v>0</v>
      </c>
      <c r="E24" s="9"/>
      <c r="F24" s="12">
        <f>$D$6*$C$24</f>
        <v>0</v>
      </c>
      <c r="G24" s="12">
        <f>($D$6*$C$24)*(1-G4)</f>
        <v>0</v>
      </c>
      <c r="H24" s="12">
        <f>($D$6*$C$24)*(1-H4)</f>
        <v>0</v>
      </c>
    </row>
    <row r="25" spans="1:8">
      <c r="A25" s="9" t="s">
        <v>7</v>
      </c>
      <c r="B25" s="20" t="s">
        <v>8</v>
      </c>
      <c r="C25" s="149">
        <v>0</v>
      </c>
      <c r="D25" s="12">
        <f>D7*C25</f>
        <v>0</v>
      </c>
      <c r="E25" s="9"/>
      <c r="F25" s="12">
        <f>$D$7*$C$25</f>
        <v>0</v>
      </c>
      <c r="G25" s="12">
        <f>($D$7*$C$25)*(1-G4)</f>
        <v>0</v>
      </c>
      <c r="H25" s="12">
        <f>($D$7*$C$25)*(1-H4)</f>
        <v>0</v>
      </c>
    </row>
    <row r="26" spans="1:8">
      <c r="A26" s="9" t="s">
        <v>9</v>
      </c>
      <c r="B26" s="20" t="s">
        <v>10</v>
      </c>
      <c r="C26" s="149">
        <v>0</v>
      </c>
      <c r="D26" s="12">
        <f>D8*C26</f>
        <v>0</v>
      </c>
      <c r="E26" s="9"/>
      <c r="F26" s="12">
        <f>$D$8*$C$26</f>
        <v>0</v>
      </c>
      <c r="G26" s="12">
        <f>($D$8*$C$26)*(1-G4)</f>
        <v>0</v>
      </c>
      <c r="H26" s="12">
        <f>($D$8*$C$26)*(1-H4)</f>
        <v>0</v>
      </c>
    </row>
    <row r="27" spans="1:8">
      <c r="A27" s="9" t="s">
        <v>11</v>
      </c>
      <c r="B27" s="20" t="s">
        <v>12</v>
      </c>
      <c r="C27" s="10">
        <f>SUM(C28:C32)</f>
        <v>0</v>
      </c>
      <c r="D27" s="12">
        <f>SUM(D28:D32)</f>
        <v>0</v>
      </c>
      <c r="E27" s="9"/>
      <c r="F27" s="12">
        <f>SUM(F28:F32)</f>
        <v>0</v>
      </c>
      <c r="G27" s="12">
        <f>SUM(G28:G32)</f>
        <v>0</v>
      </c>
      <c r="H27" s="12">
        <f>SUM(H28:H32)</f>
        <v>0</v>
      </c>
    </row>
    <row r="28" spans="1:8">
      <c r="A28" s="9"/>
      <c r="B28" s="20" t="s">
        <v>246</v>
      </c>
      <c r="C28" s="149">
        <v>0</v>
      </c>
      <c r="D28" s="155">
        <f>IF(AND('Configure Products'!C22=0,'Configure Products'!C19=0,'Configure Products'!C20=0),0,IF(C28=0,0,$D$9*(C28-1)))</f>
        <v>0</v>
      </c>
      <c r="E28" s="156"/>
      <c r="F28" s="155">
        <f>D28</f>
        <v>0</v>
      </c>
      <c r="G28" s="155">
        <f>D28*(1-$G$4)</f>
        <v>0</v>
      </c>
      <c r="H28" s="155">
        <f>D28*(1-$H$4)</f>
        <v>0</v>
      </c>
    </row>
    <row r="29" spans="1:8">
      <c r="A29" s="9"/>
      <c r="B29" s="20" t="s">
        <v>247</v>
      </c>
      <c r="C29" s="149">
        <v>0</v>
      </c>
      <c r="D29" s="155">
        <f>IF(AND('Configure Products'!C22=0,'Configure Products'!C19=0,'Configure Products'!C20=0),0,IF(C29=0,0,$D$9*(C29-1)))</f>
        <v>0</v>
      </c>
      <c r="E29" s="156"/>
      <c r="F29" s="155">
        <f t="shared" ref="F29:F32" si="0">D29</f>
        <v>0</v>
      </c>
      <c r="G29" s="155">
        <f t="shared" ref="G29:G32" si="1">D29*(1-$G$4)</f>
        <v>0</v>
      </c>
      <c r="H29" s="155">
        <f t="shared" ref="H29:H32" si="2">D29*(1-$H$4)</f>
        <v>0</v>
      </c>
    </row>
    <row r="30" spans="1:8">
      <c r="A30" s="9"/>
      <c r="B30" s="20" t="s">
        <v>248</v>
      </c>
      <c r="C30" s="149">
        <v>0</v>
      </c>
      <c r="D30" s="155">
        <f>IF(AND('Configure Products'!C22=0,'Configure Products'!C19=0,'Configure Products'!C20=0),0,IF(C30=0,0,$D$9*(C30-1)))</f>
        <v>0</v>
      </c>
      <c r="E30" s="156"/>
      <c r="F30" s="155">
        <f t="shared" si="0"/>
        <v>0</v>
      </c>
      <c r="G30" s="155">
        <f t="shared" si="1"/>
        <v>0</v>
      </c>
      <c r="H30" s="155">
        <f t="shared" si="2"/>
        <v>0</v>
      </c>
    </row>
    <row r="31" spans="1:8">
      <c r="A31" s="9"/>
      <c r="B31" s="20" t="s">
        <v>249</v>
      </c>
      <c r="C31" s="149">
        <v>0</v>
      </c>
      <c r="D31" s="155">
        <f>IF(AND('Configure Products'!C22=0,'Configure Products'!C19=0,'Configure Products'!C20=0),0,IF(C31=0,0,$D$9*(C31-1)))</f>
        <v>0</v>
      </c>
      <c r="E31" s="156"/>
      <c r="F31" s="155">
        <f t="shared" si="0"/>
        <v>0</v>
      </c>
      <c r="G31" s="155">
        <f t="shared" si="1"/>
        <v>0</v>
      </c>
      <c r="H31" s="155">
        <f t="shared" si="2"/>
        <v>0</v>
      </c>
    </row>
    <row r="32" spans="1:8">
      <c r="A32" s="9"/>
      <c r="B32" s="20" t="s">
        <v>250</v>
      </c>
      <c r="C32" s="149">
        <v>0</v>
      </c>
      <c r="D32" s="155">
        <f>IF(AND('Configure Products'!C22=0,'Configure Products'!C19=0,'Configure Products'!C20=0),0,IF(C32=0,0,$D$9*(C32-1)))</f>
        <v>0</v>
      </c>
      <c r="E32" s="156"/>
      <c r="F32" s="155">
        <f t="shared" si="0"/>
        <v>0</v>
      </c>
      <c r="G32" s="155">
        <f t="shared" si="1"/>
        <v>0</v>
      </c>
      <c r="H32" s="155">
        <f t="shared" si="2"/>
        <v>0</v>
      </c>
    </row>
    <row r="33" spans="1:8">
      <c r="A33" s="9" t="s">
        <v>14</v>
      </c>
      <c r="B33" s="20" t="s">
        <v>15</v>
      </c>
      <c r="C33" s="149">
        <v>0</v>
      </c>
      <c r="D33" s="12">
        <f>IF(C33=0,0,D10*(C33-1))</f>
        <v>0</v>
      </c>
      <c r="E33" s="9"/>
      <c r="F33" s="12">
        <f>D33</f>
        <v>0</v>
      </c>
      <c r="G33" s="12">
        <f>D33*(1-G4)</f>
        <v>0</v>
      </c>
      <c r="H33" s="12">
        <f>D33*(1-H4)</f>
        <v>0</v>
      </c>
    </row>
    <row r="34" spans="1:8" s="38" customFormat="1">
      <c r="A34" s="152"/>
      <c r="B34" s="152" t="s">
        <v>60</v>
      </c>
      <c r="C34" s="153"/>
      <c r="D34" s="154">
        <f>SUM(D18:D27)+D33</f>
        <v>0</v>
      </c>
      <c r="E34" s="152"/>
      <c r="F34" s="154">
        <f>SUM(F18:F27)+F33</f>
        <v>0</v>
      </c>
      <c r="G34" s="154">
        <f>SUM(G18:G27)+G33</f>
        <v>0</v>
      </c>
      <c r="H34" s="154">
        <f>SUM(H18:H27)+H33</f>
        <v>0</v>
      </c>
    </row>
    <row r="35" spans="1:8" ht="7.5" customHeight="1">
      <c r="A35" s="42"/>
      <c r="B35" s="42"/>
      <c r="C35" s="43"/>
      <c r="D35" s="44"/>
      <c r="E35" s="42"/>
      <c r="F35" s="42"/>
      <c r="G35" s="42"/>
      <c r="H35" s="42"/>
    </row>
    <row r="36" spans="1:8">
      <c r="A36" s="13"/>
      <c r="B36" s="13"/>
      <c r="C36" s="11" t="s">
        <v>17</v>
      </c>
      <c r="D36" s="14"/>
      <c r="E36" s="15" t="s">
        <v>18</v>
      </c>
      <c r="F36" s="13"/>
      <c r="G36" s="13"/>
      <c r="H36" s="13"/>
    </row>
    <row r="37" spans="1:8">
      <c r="A37" s="13" t="s">
        <v>252</v>
      </c>
      <c r="B37" s="13"/>
      <c r="C37" s="149">
        <v>1</v>
      </c>
      <c r="D37" s="14">
        <f>IF(C37=0,0,D34*(1*E37))</f>
        <v>0</v>
      </c>
      <c r="E37" s="16">
        <v>0.1</v>
      </c>
      <c r="F37" s="14">
        <f>IF($C$37=0,0,(1*$F$34*$E$37))</f>
        <v>0</v>
      </c>
      <c r="G37" s="14">
        <f>IF($C$37=0,0,(1*$G$34*$E$37))</f>
        <v>0</v>
      </c>
      <c r="H37" s="14">
        <f>IF($C$37=0,0,(1*$H$34*$E$37))</f>
        <v>0</v>
      </c>
    </row>
    <row r="38" spans="1:8">
      <c r="A38" s="13" t="s">
        <v>20</v>
      </c>
      <c r="B38" s="13"/>
      <c r="C38" s="149">
        <v>1</v>
      </c>
      <c r="D38" s="14">
        <f>IF(C38=0,0,D34*(1*E38))</f>
        <v>0</v>
      </c>
      <c r="E38" s="16">
        <v>0.2</v>
      </c>
      <c r="F38" s="14">
        <f>IF($C$38=0,0,(1*$F$34*$E$38))</f>
        <v>0</v>
      </c>
      <c r="G38" s="14">
        <f>IF($C$38=0,0,(1*$G$34*$E$38))</f>
        <v>0</v>
      </c>
      <c r="H38" s="14">
        <f>IF($C$38=0,0,(1*$H$34*$E$38))</f>
        <v>0</v>
      </c>
    </row>
    <row r="39" spans="1:8">
      <c r="A39" s="13" t="s">
        <v>21</v>
      </c>
      <c r="B39" s="13"/>
      <c r="C39" s="149">
        <v>0</v>
      </c>
      <c r="D39" s="14">
        <f>IF(C39=0,0,(C39*D34*E39)-D34)</f>
        <v>0</v>
      </c>
      <c r="E39" s="16">
        <v>2.5</v>
      </c>
      <c r="F39" s="14">
        <f>IF($C$39=0,0,(1*$F$34*$E$39)-$F$34)</f>
        <v>0</v>
      </c>
      <c r="G39" s="14">
        <f>IF($C$39=0,0,(1*$G$34*$E$39)-$G$34)</f>
        <v>0</v>
      </c>
      <c r="H39" s="14">
        <f>IF($C$39=0,0,(1*$H$34*$E$39)-$H$34)</f>
        <v>0</v>
      </c>
    </row>
    <row r="40" spans="1:8" s="19" customFormat="1" ht="18.75">
      <c r="A40" s="17"/>
      <c r="B40" s="17" t="s">
        <v>22</v>
      </c>
      <c r="C40" s="17"/>
      <c r="D40" s="18">
        <f>SUM(D34:D39)</f>
        <v>0</v>
      </c>
      <c r="E40" s="17"/>
      <c r="F40" s="18">
        <f>SUM(F34:F39)</f>
        <v>0</v>
      </c>
      <c r="G40" s="18">
        <f>SUM(G34:G39)</f>
        <v>0</v>
      </c>
      <c r="H40" s="18">
        <f t="shared" ref="H40" si="3">SUM(H34:H39)</f>
        <v>0</v>
      </c>
    </row>
  </sheetData>
  <mergeCells count="7">
    <mergeCell ref="A15:E15"/>
    <mergeCell ref="F1:H1"/>
    <mergeCell ref="A17:D17"/>
    <mergeCell ref="A21:D21"/>
    <mergeCell ref="A11:D11"/>
    <mergeCell ref="F3:H3"/>
    <mergeCell ref="A1:D1"/>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dimension ref="A1:H41"/>
  <sheetViews>
    <sheetView workbookViewId="0">
      <selection activeCell="B19" sqref="B19"/>
    </sheetView>
  </sheetViews>
  <sheetFormatPr defaultRowHeight="15"/>
  <cols>
    <col min="1" max="1" width="4.7109375" customWidth="1"/>
    <col min="2" max="2" width="13.140625" customWidth="1"/>
    <col min="4" max="4" width="16.42578125" customWidth="1"/>
    <col min="6" max="6" width="14.42578125" customWidth="1"/>
    <col min="7" max="7" width="14.28515625" customWidth="1"/>
    <col min="8" max="8" width="20.28515625" customWidth="1"/>
  </cols>
  <sheetData>
    <row r="1" spans="1:8">
      <c r="A1" s="23"/>
      <c r="B1" s="23"/>
      <c r="C1" s="23"/>
      <c r="D1" s="23"/>
      <c r="E1" s="23"/>
      <c r="F1" s="23"/>
      <c r="G1" s="23"/>
      <c r="H1" s="23"/>
    </row>
    <row r="2" spans="1:8" ht="28.5">
      <c r="A2" s="23"/>
      <c r="B2" s="23"/>
      <c r="C2" s="23"/>
      <c r="D2" s="23"/>
      <c r="E2" s="23"/>
      <c r="F2" s="23"/>
      <c r="G2" s="23"/>
      <c r="H2" s="48" t="s">
        <v>62</v>
      </c>
    </row>
    <row r="3" spans="1:8">
      <c r="A3" s="23"/>
      <c r="B3" s="23"/>
      <c r="C3" s="23"/>
      <c r="D3" s="23"/>
      <c r="E3" s="23"/>
      <c r="F3" s="23"/>
      <c r="G3" s="23"/>
      <c r="H3" s="23"/>
    </row>
    <row r="4" spans="1:8">
      <c r="A4" s="23"/>
      <c r="B4" s="23"/>
      <c r="C4" s="23"/>
      <c r="D4" s="23"/>
      <c r="E4" s="23"/>
      <c r="F4" s="23"/>
      <c r="G4" s="23"/>
      <c r="H4" s="23"/>
    </row>
    <row r="5" spans="1:8" s="126" customFormat="1" ht="12">
      <c r="B5" s="126" t="s">
        <v>70</v>
      </c>
      <c r="G5" s="127" t="s">
        <v>73</v>
      </c>
      <c r="H5" s="128">
        <f ca="1">TODAY()</f>
        <v>40743</v>
      </c>
    </row>
    <row r="6" spans="1:8" s="126" customFormat="1" ht="12">
      <c r="B6" s="126" t="s">
        <v>71</v>
      </c>
      <c r="G6" s="127" t="s">
        <v>63</v>
      </c>
      <c r="H6" s="129">
        <f ca="1">TODAY()-39000</f>
        <v>1743</v>
      </c>
    </row>
    <row r="7" spans="1:8" s="126" customFormat="1" ht="12">
      <c r="B7" s="126" t="s">
        <v>72</v>
      </c>
      <c r="G7" s="127" t="s">
        <v>64</v>
      </c>
      <c r="H7" s="150"/>
    </row>
    <row r="8" spans="1:8" s="126" customFormat="1" ht="12">
      <c r="G8" s="130"/>
    </row>
    <row r="9" spans="1:8" s="126" customFormat="1" ht="12">
      <c r="B9" s="131" t="s">
        <v>65</v>
      </c>
      <c r="G9" s="127" t="s">
        <v>74</v>
      </c>
      <c r="H9" s="128">
        <f ca="1">TODAY() + 30</f>
        <v>40773</v>
      </c>
    </row>
    <row r="10" spans="1:8" s="126" customFormat="1" ht="12">
      <c r="B10" s="150" t="s">
        <v>75</v>
      </c>
      <c r="C10" s="150" t="s">
        <v>76</v>
      </c>
      <c r="D10" s="150"/>
      <c r="E10" s="150"/>
      <c r="F10" s="150"/>
      <c r="G10" s="127" t="s">
        <v>66</v>
      </c>
      <c r="H10" s="150"/>
    </row>
    <row r="11" spans="1:8" s="126" customFormat="1" ht="12">
      <c r="B11" s="150" t="s">
        <v>67</v>
      </c>
      <c r="C11" s="150"/>
      <c r="D11" s="150"/>
      <c r="E11" s="150"/>
      <c r="F11" s="150"/>
      <c r="G11" s="130"/>
    </row>
    <row r="12" spans="1:8" s="126" customFormat="1" ht="12">
      <c r="B12" s="150" t="s">
        <v>67</v>
      </c>
      <c r="C12" s="150"/>
      <c r="D12" s="150"/>
      <c r="E12" s="150"/>
      <c r="F12" s="150"/>
      <c r="G12" s="130"/>
    </row>
    <row r="13" spans="1:8" s="126" customFormat="1" ht="12">
      <c r="B13" s="150" t="s">
        <v>77</v>
      </c>
      <c r="C13" s="150"/>
      <c r="D13" s="150"/>
      <c r="E13" s="150" t="s">
        <v>78</v>
      </c>
      <c r="F13" s="150"/>
      <c r="G13" s="130"/>
    </row>
    <row r="14" spans="1:8" s="126" customFormat="1" ht="12">
      <c r="B14" s="150" t="s">
        <v>79</v>
      </c>
      <c r="C14" s="150"/>
      <c r="D14" s="150"/>
      <c r="E14" s="150"/>
      <c r="F14" s="150"/>
      <c r="G14" s="130"/>
    </row>
    <row r="15" spans="1:8" ht="6.75" customHeight="1"/>
    <row r="16" spans="1:8">
      <c r="B16" s="47" t="s">
        <v>68</v>
      </c>
    </row>
    <row r="17" spans="1:8">
      <c r="A17" s="49"/>
      <c r="B17" s="151"/>
      <c r="C17" s="151"/>
      <c r="D17" s="151"/>
      <c r="E17" s="151"/>
      <c r="F17" s="151"/>
      <c r="G17" s="151"/>
      <c r="H17" s="151"/>
    </row>
    <row r="18" spans="1:8">
      <c r="A18" s="49"/>
      <c r="B18" s="151"/>
      <c r="C18" s="151"/>
      <c r="D18" s="151"/>
      <c r="E18" s="151"/>
      <c r="F18" s="151"/>
      <c r="G18" s="151"/>
      <c r="H18" s="151"/>
    </row>
    <row r="19" spans="1:8">
      <c r="A19" s="23"/>
      <c r="B19" s="23" t="str">
        <f>IF('Configure Products'!F1=0,"Standard Quotation",IF('Configure Products'!F1=2,"Academic Quotation"))</f>
        <v>Standard Quotation</v>
      </c>
      <c r="C19" s="23"/>
      <c r="D19" s="23"/>
      <c r="E19" s="23"/>
      <c r="F19" s="23"/>
      <c r="G19" s="23"/>
      <c r="H19" s="23"/>
    </row>
    <row r="20" spans="1:8">
      <c r="A20" s="42"/>
      <c r="B20" s="124" t="s">
        <v>251</v>
      </c>
      <c r="C20" s="42"/>
      <c r="D20" s="42"/>
      <c r="E20" s="42"/>
      <c r="F20" s="42"/>
      <c r="G20" s="42"/>
      <c r="H20" s="42"/>
    </row>
    <row r="21" spans="1:8">
      <c r="A21" s="49"/>
      <c r="B21" s="49" t="s">
        <v>240</v>
      </c>
      <c r="C21" s="49"/>
      <c r="D21" s="49" t="s">
        <v>0</v>
      </c>
      <c r="E21" s="49"/>
      <c r="F21" s="49"/>
      <c r="G21" s="125" t="s">
        <v>16</v>
      </c>
      <c r="H21" s="125" t="s">
        <v>69</v>
      </c>
    </row>
    <row r="22" spans="1:8">
      <c r="A22" s="49"/>
      <c r="B22" s="136" t="str">
        <f>IF('Configure Products'!C18=0,"", CONCATENATE('Jacket-July-2011'!A78))</f>
        <v/>
      </c>
      <c r="C22" s="49"/>
      <c r="D22" s="140" t="str">
        <f>IF('Configure Products'!C18=0,"", CONCATENATE('Configure Products'!B18))</f>
        <v/>
      </c>
      <c r="E22" s="49"/>
      <c r="F22" s="49"/>
      <c r="G22" s="141" t="str">
        <f>IF('Configure Products'!C18=0,"", 'Configure Products'!C18)</f>
        <v/>
      </c>
      <c r="H22" s="142" t="str">
        <f>IF('Configure Products'!C18=0,"",IF('Configure Products'!F1=0,'Configure Products'!F18,IF('Configure Products'!F1=1,'Configure Products'!G18,IF('Configure Products'!F1=2,'Configure Products'!H18))))</f>
        <v/>
      </c>
    </row>
    <row r="23" spans="1:8">
      <c r="B23" s="38" t="str">
        <f>IF('Configure Products'!C22=0,"", CONCATENATE('Jacket-July-2011'!A9))</f>
        <v/>
      </c>
      <c r="D23" s="133" t="str">
        <f>IF('Configure Products'!C22=0,"", CONCATENATE('Configure Products'!B22))</f>
        <v/>
      </c>
      <c r="G23" s="46" t="str">
        <f>IF('Configure Products'!C22=0,"", 'Configure Products'!C22)</f>
        <v/>
      </c>
      <c r="H23" s="29" t="str">
        <f>IF('Configure Products'!C22=0,"",IF('Configure Products'!F1=0,'Configure Products'!F22,IF('Configure Products'!F1=1,'Configure Products'!G22,IF('Configure Products'!F1=2,'Configure Products'!H22))))</f>
        <v/>
      </c>
    </row>
    <row r="24" spans="1:8">
      <c r="A24" s="36"/>
      <c r="B24" s="134" t="str">
        <f>IF('Configure Products'!C23=0,"", CONCATENATE('Jacket-July-2011'!A82))</f>
        <v/>
      </c>
      <c r="C24" s="36"/>
      <c r="D24" s="4" t="str">
        <f>IF('Configure Products'!C23=0,"", CONCATENATE('Configure Products'!B23))</f>
        <v/>
      </c>
      <c r="E24" s="36"/>
      <c r="F24" s="36"/>
      <c r="G24" s="45" t="str">
        <f>IF('Configure Products'!C23=0,"", 'Configure Products'!C23)</f>
        <v/>
      </c>
      <c r="H24" s="135" t="str">
        <f>IF('Configure Products'!C23=0,"",IF('Configure Products'!F1=0,'Configure Products'!F23,IF('Configure Products'!F1=1,'Configure Products'!G23,IF('Configure Products'!F1=2,'Configure Products'!H23))))</f>
        <v/>
      </c>
    </row>
    <row r="25" spans="1:8">
      <c r="B25" s="38" t="str">
        <f>IF('Configure Products'!C25=0,"", CONCATENATE('Jacket-July-2011'!A66))</f>
        <v/>
      </c>
      <c r="D25" s="133" t="str">
        <f>IF('Configure Products'!C25=0,"", CONCATENATE('Configure Products'!B25))</f>
        <v/>
      </c>
      <c r="G25" s="46" t="str">
        <f>IF('Configure Products'!C25=0,"", 'Configure Products'!C25)</f>
        <v/>
      </c>
      <c r="H25" s="29" t="str">
        <f>IF('Configure Products'!C25=0,"",IF('Configure Products'!F1=0,'Configure Products'!F25,IF('Configure Products'!F1=1,'Configure Products'!G25,IF('Configure Products'!F1=2,'Configure Products'!H25))))</f>
        <v/>
      </c>
    </row>
    <row r="26" spans="1:8">
      <c r="A26" s="36"/>
      <c r="B26" s="134" t="str">
        <f>IF('Configure Products'!C26=0,"", CONCATENATE('Jacket-July-2011'!A70))</f>
        <v/>
      </c>
      <c r="C26" s="36"/>
      <c r="D26" s="4" t="str">
        <f>IF('Configure Products'!C26=0,"", CONCATENATE('Configure Products'!B26))</f>
        <v/>
      </c>
      <c r="E26" s="36"/>
      <c r="F26" s="36"/>
      <c r="G26" s="45" t="str">
        <f>IF('Configure Products'!C26=0,"", 'Configure Products'!C26)</f>
        <v/>
      </c>
      <c r="H26" s="135" t="str">
        <f>IF('Configure Products'!C26=0,"",IF('Configure Products'!F1=0,'Configure Products'!F26,IF('Configure Products'!F1=1,'Configure Products'!G26,IF('Configure Products'!F1=2,'Configure Products'!H26))))</f>
        <v/>
      </c>
    </row>
    <row r="27" spans="1:8" s="26" customFormat="1">
      <c r="B27" s="27" t="str">
        <f>IF('Configure Products'!C19=0,"", CONCATENATE('Jacket-July-2011'!A10))</f>
        <v/>
      </c>
      <c r="D27" s="5" t="str">
        <f>IF('Configure Products'!C19=0,"", CONCATENATE('Configure Products'!B19))</f>
        <v/>
      </c>
      <c r="G27" s="143" t="str">
        <f>IF('Configure Products'!C19=0,"", 'Configure Products'!C19)</f>
        <v/>
      </c>
      <c r="H27" s="29" t="str">
        <f>IF('Configure Products'!C19=0,"",IF('Configure Products'!F1=0,'Configure Products'!F19,IF('Configure Products'!F1=1,'Configure Products'!G19,IF('Configure Products'!F1=2,'Configure Products'!H19))))</f>
        <v/>
      </c>
    </row>
    <row r="28" spans="1:8" s="26" customFormat="1">
      <c r="A28" s="36"/>
      <c r="B28" s="134" t="str">
        <f>IF('Configure Products'!C20=0,"", CONCATENATE('Jacket-July-2011'!A11))</f>
        <v/>
      </c>
      <c r="C28" s="36"/>
      <c r="D28" s="4" t="str">
        <f>IF('Configure Products'!C20=0,"", CONCATENATE('Configure Products'!B20))</f>
        <v/>
      </c>
      <c r="E28" s="36"/>
      <c r="F28" s="36"/>
      <c r="G28" s="45" t="str">
        <f>IF('Configure Products'!C20=0,"", 'Configure Products'!C20)</f>
        <v/>
      </c>
      <c r="H28" s="135" t="str">
        <f>IF('Configure Products'!C20=0,"",IF('Configure Products'!F1=0,'Configure Products'!F20,IF('Configure Products'!F1=1,'Configure Products'!G20,IF('Configure Products'!F1=2,'Configure Products'!H20))))</f>
        <v/>
      </c>
    </row>
    <row r="29" spans="1:8">
      <c r="A29" s="42"/>
      <c r="B29" s="124" t="s">
        <v>241</v>
      </c>
      <c r="C29" s="42"/>
      <c r="D29" s="42"/>
      <c r="E29" s="42"/>
      <c r="F29" s="42"/>
      <c r="G29" s="42"/>
      <c r="H29" s="132" t="str">
        <f>IF(AND('Configure Products'!C22=0,'Configure Products'!C19=0,'Configure Products'!C20=0),"",IF('Configure Products'!C27=0,"",IF('Configure Products'!F1=0,'Configure Products'!F27,IF('Configure Products'!F1=1,'Configure Products'!G27,IF('Configure Products'!F1=2,'Configure Products'!H27)))))</f>
        <v/>
      </c>
    </row>
    <row r="30" spans="1:8">
      <c r="A30" s="137"/>
      <c r="B30" s="138" t="str">
        <f>IF(AND('Configure Products'!C22=0,'Configure Products'!C19=0,'Configure Products'!C20=0),"",IF('Configure Products'!C28=0,"",IF('Configure Products'!C28=1,"Included",IF('Configure Products'!C28=2, CONCATENATE('Jacket-July-2011'!A14),IF('Configure Products'!C28=3, CONCATENATE('Jacket-July-2011'!A15), IF('Configure Products'!C28=4, CONCATENATE('Jacket-July-2011'!A16), IF('Configure Products'!C28=5, CONCATENATE('Jacket-July-2011'!A17), IF('Configure Products'!C28=6, CONCATENATE('Jacket-July-2011'!A18), IF('Configure Products'!C28=7, CONCATENATE('Jacket-July-2011'!A19), IF('Configure Products'!C28=8, CONCATENATE('Jacket-July-2011'!A20), IF('Configure Products'!C28&gt;8, "error - upto 8 GPUs only")))))))))))</f>
        <v/>
      </c>
      <c r="C30" s="137"/>
      <c r="D30" s="137" t="str">
        <f>IF(AND('Configure Products'!C22=0,'Configure Products'!C19=0,'Configure Products'!C20=0),"",IF('Configure Products'!C28=0,"", CONCATENATE('Configure Products'!B28)))</f>
        <v/>
      </c>
      <c r="E30" s="137"/>
      <c r="F30" s="137"/>
      <c r="G30" s="137"/>
      <c r="H30" s="137"/>
    </row>
    <row r="31" spans="1:8">
      <c r="A31" s="137"/>
      <c r="B31" s="139" t="str">
        <f>IF(AND('Configure Products'!C22&lt;2,'Configure Products'!C19=0,'Configure Products'!C20=0),"",IF('Configure Products'!C29=0,"",IF('Configure Products'!C29=1,"Included",IF('Configure Products'!C29=2, CONCATENATE('Jacket-July-2011'!A14),IF('Configure Products'!C29=3, CONCATENATE('Jacket-July-2011'!A15), IF('Configure Products'!C29=4, CONCATENATE('Jacket-July-2011'!A16), IF('Configure Products'!C29=5, CONCATENATE('Jacket-July-2011'!A17), IF('Configure Products'!C29=6, CONCATENATE('Jacket-July-2011'!A18), IF('Configure Products'!C29=7, CONCATENATE('Jacket-July-2011'!A19), IF('Configure Products'!C29=8, CONCATENATE('Jacket-July-2011'!A20), IF('Configure Products'!C29&gt;8, "error - upto 8 GPUs only")))))))))))</f>
        <v/>
      </c>
      <c r="C31" s="137"/>
      <c r="D31" s="137" t="str">
        <f>IF(AND('Configure Products'!C22&lt;2,'Configure Products'!C19=0,'Configure Products'!C20=0),"",IF('Configure Products'!C29=0,"",CONCATENATE('Configure Products'!B29)))</f>
        <v/>
      </c>
      <c r="E31" s="137"/>
      <c r="F31" s="137"/>
      <c r="G31" s="137"/>
      <c r="H31" s="137"/>
    </row>
    <row r="32" spans="1:8">
      <c r="A32" s="137"/>
      <c r="B32" s="139" t="str">
        <f>IF(AND('Configure Products'!C22&lt;3,'Configure Products'!C19=0,'Configure Products'!C20=0),"",IF('Configure Products'!C30=0,"",IF('Configure Products'!C30=1,"Included",IF('Configure Products'!C30=2, CONCATENATE('Jacket-July-2011'!A14),IF('Configure Products'!C30=3, CONCATENATE('Jacket-July-2011'!A15), IF('Configure Products'!C30=4, CONCATENATE('Jacket-July-2011'!A16), IF('Configure Products'!C30=5, CONCATENATE('Jacket-July-2011'!A17), IF('Configure Products'!C30=6, CONCATENATE('Jacket-July-2011'!A18), IF('Configure Products'!C30=7, CONCATENATE('Jacket-July-2011'!A19), IF('Configure Products'!C30=8, CONCATENATE('Jacket-July-2011'!A20), IF('Configure Products'!C30&gt;8, "error - upto 8 GPUs only")))))))))))</f>
        <v/>
      </c>
      <c r="C32" s="137"/>
      <c r="D32" s="137" t="str">
        <f>IF(AND('Configure Products'!C22&lt;3,'Configure Products'!C19=0,'Configure Products'!C20=0),"",IF('Configure Products'!C30=0,"",IF('Configure Products'!C30=0,"", CONCATENATE('Configure Products'!B30))))</f>
        <v/>
      </c>
      <c r="E32" s="137"/>
      <c r="F32" s="137"/>
      <c r="G32" s="137"/>
      <c r="H32" s="137"/>
    </row>
    <row r="33" spans="1:8">
      <c r="A33" s="137"/>
      <c r="B33" s="139" t="str">
        <f>IF(AND('Configure Products'!C22&lt;4,'Configure Products'!C19=0,'Configure Products'!C20=0),"",IF('Configure Products'!C31=0,"",IF('Configure Products'!C31=1,"Included",IF('Configure Products'!C31=2, CONCATENATE('Jacket-July-2011'!A14),IF('Configure Products'!C31=3, CONCATENATE('Jacket-July-2011'!A15), IF('Configure Products'!C31=4, CONCATENATE('Jacket-July-2011'!A16), IF('Configure Products'!C31=5, CONCATENATE('Jacket-July-2011'!A17), IF('Configure Products'!C31=6, CONCATENATE('Jacket-July-2011'!A18), IF('Configure Products'!C31=7, CONCATENATE('Jacket-July-2011'!A19), IF('Configure Products'!C31=8, CONCATENATE('Jacket-July-2011'!A20), IF('Configure Products'!C31&gt;8, "error - upto 8 GPUs only")))))))))))</f>
        <v/>
      </c>
      <c r="C33" s="137"/>
      <c r="D33" s="137" t="str">
        <f>IF(AND('Configure Products'!C22&lt;4,'Configure Products'!C19=0,'Configure Products'!C20=0),"",IF('Configure Products'!C31=0,"",IF('Configure Products'!C31=0,"", CONCATENATE('Configure Products'!B31))))</f>
        <v/>
      </c>
      <c r="E33" s="137"/>
      <c r="F33" s="137"/>
      <c r="G33" s="137"/>
      <c r="H33" s="137"/>
    </row>
    <row r="34" spans="1:8">
      <c r="A34" s="137"/>
      <c r="B34" s="139" t="str">
        <f>IF(AND('Configure Products'!C22&lt;5,'Configure Products'!C19=0,'Configure Products'!C20=0),"",IF('Configure Products'!C32=0,"",IF('Configure Products'!C32=1,"Included",IF('Configure Products'!C32=2, CONCATENATE('Jacket-July-2011'!A14),IF('Configure Products'!C32=3, CONCATENATE('Jacket-July-2011'!A15), IF('Configure Products'!C32=4, CONCATENATE('Jacket-July-2011'!A16), IF('Configure Products'!C32=5, CONCATENATE('Jacket-July-2011'!A17), IF('Configure Products'!C32=6, CONCATENATE('Jacket-July-2011'!A18), IF('Configure Products'!C32=7, CONCATENATE('Jacket-July-2011'!A19), IF('Configure Products'!C32=8, CONCATENATE('Jacket-July-2011'!A20), IF('Configure Products'!C32&gt;8, "error - upto 8 GPUS only")))))))))))</f>
        <v/>
      </c>
      <c r="C34" s="137"/>
      <c r="D34" s="137" t="str">
        <f>IF(AND('Configure Products'!C22&lt;5,'Configure Products'!C19=0,'Configure Products'!C20=0),"",IF('Configure Products'!C32=0,"",IF('Configure Products'!C32=0,"", CONCATENATE('Configure Products'!B32))))</f>
        <v/>
      </c>
      <c r="E34" s="137"/>
      <c r="F34" s="137"/>
      <c r="G34" s="137"/>
      <c r="H34" s="137"/>
    </row>
    <row r="35" spans="1:8">
      <c r="A35" s="36"/>
      <c r="B35" s="134" t="str">
        <f>IF(AND('Configure Products'!C22=0,'Configure Products'!C19=0,'Configure Products'!C20=0),"",IF('Configure Products'!C33=0, "", IF('Configure Products'!C33&lt;8,"ERROR - 8+ GPUs only",CONCATENATE("JKT-HPC",'Configure Products'!C33,"G-PER"))))</f>
        <v/>
      </c>
      <c r="C35" s="36"/>
      <c r="D35" s="36" t="str">
        <f>IF(AND('Configure Products'!C22=0,'Configure Products'!C19=0,'Configure Products'!C20=0),"",IF('Configure Products'!C22=0,"",IF('Configure Products'!C33=0,"", IF('Configure Products'!C33&lt;8,"",CONCATENATE('Configure Products'!A33," license for ", 'Configure Products'!C33, " GPU Cluster")))))</f>
        <v/>
      </c>
      <c r="E35" s="36"/>
      <c r="F35" s="36"/>
      <c r="G35" s="36"/>
      <c r="H35" s="135" t="str">
        <f>IF('Configure Products'!C33=0,"",IF('Configure Products'!C33&lt;8,"ERROR - 8+ GPUs only",IF('Configure Products'!F1=0,'Configure Products'!F33,IF('Configure Products'!F1=1,'Configure Products'!G33,IF('Configure Products'!F1=2,'Configure Products'!H33)))))</f>
        <v/>
      </c>
    </row>
    <row r="36" spans="1:8">
      <c r="A36" s="42"/>
      <c r="B36" s="124" t="s">
        <v>253</v>
      </c>
      <c r="C36" s="42"/>
      <c r="D36" s="42"/>
      <c r="E36" s="42"/>
      <c r="F36" s="42"/>
      <c r="G36" s="42"/>
      <c r="H36" s="42"/>
    </row>
    <row r="37" spans="1:8">
      <c r="A37" s="49"/>
      <c r="B37" s="136" t="str">
        <f>IF('Configure Products'!C37=0,"", CONCATENATE('Configure Products'!A37))</f>
        <v>Software Maintenance Services</v>
      </c>
      <c r="C37" s="49"/>
      <c r="D37" s="49"/>
      <c r="E37" s="49"/>
      <c r="F37" s="49"/>
      <c r="G37" s="49"/>
      <c r="H37" s="142">
        <f>IF('Configure Products'!C37=0,"",IF('Configure Products'!F1=0,'Configure Products'!F37,IF('Configure Products'!F1=1,'Configure Products'!G37,IF('Configure Products'!F1=2,'Configure Products'!H37))))</f>
        <v>0</v>
      </c>
    </row>
    <row r="38" spans="1:8">
      <c r="B38" s="27" t="str">
        <f>IF('Configure Products'!C38=0,"", CONCATENATE('Configure Products'!A38))</f>
        <v>Telephone Support</v>
      </c>
      <c r="H38" s="29">
        <f>IF('Configure Products'!C38=0,"",IF('Configure Products'!F1=0,'Configure Products'!F38,IF('Configure Products'!F1=1,'Configure Products'!G38,IF('Configure Products'!F1=2,'Configure Products'!H38))))</f>
        <v>0</v>
      </c>
    </row>
    <row r="39" spans="1:8">
      <c r="A39" s="49"/>
      <c r="B39" s="136" t="str">
        <f>IF('Configure Products'!C39=0,"", CONCATENATE('Configure Products'!A39))</f>
        <v/>
      </c>
      <c r="C39" s="49"/>
      <c r="D39" s="49"/>
      <c r="E39" s="49"/>
      <c r="F39" s="49"/>
      <c r="G39" s="49"/>
      <c r="H39" s="142" t="str">
        <f>IF('Configure Products'!C39=0,"",IF('Configure Products'!F1=0,'Configure Products'!F39,IF('Configure Products'!F1=1,'Configure Products'!G39,IF('Configure Products'!F1=2,'Configure Products'!H39))))</f>
        <v/>
      </c>
    </row>
    <row r="40" spans="1:8" ht="10.5" customHeight="1">
      <c r="A40" s="23"/>
      <c r="B40" s="23"/>
      <c r="C40" s="23"/>
      <c r="D40" s="23"/>
      <c r="E40" s="23"/>
      <c r="F40" s="23"/>
      <c r="G40" s="23"/>
      <c r="H40" s="23"/>
    </row>
    <row r="41" spans="1:8" ht="15.75">
      <c r="A41" s="144"/>
      <c r="B41" s="144" t="s">
        <v>254</v>
      </c>
      <c r="C41" s="144"/>
      <c r="D41" s="144"/>
      <c r="E41" s="144"/>
      <c r="F41" s="144"/>
      <c r="G41" s="144"/>
      <c r="H41" s="145">
        <f>SUM(H22:H39)</f>
        <v>0</v>
      </c>
    </row>
  </sheetData>
  <sheetProtection sheet="1" objects="1" scenarios="1"/>
  <pageMargins left="0.25" right="0.25"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dimension ref="A1:K179"/>
  <sheetViews>
    <sheetView topLeftCell="A55" workbookViewId="0">
      <selection activeCell="F68" sqref="F68"/>
    </sheetView>
  </sheetViews>
  <sheetFormatPr defaultRowHeight="15"/>
  <cols>
    <col min="1" max="1" width="36.42578125" style="120" customWidth="1"/>
    <col min="2" max="2" width="81.7109375" customWidth="1"/>
    <col min="3" max="3" width="16" style="121" customWidth="1"/>
    <col min="4" max="4" width="16.42578125" style="123" customWidth="1"/>
  </cols>
  <sheetData>
    <row r="1" spans="1:11" s="51" customFormat="1" ht="14.25">
      <c r="A1" s="50"/>
      <c r="B1" s="50"/>
      <c r="C1" s="50"/>
    </row>
    <row r="2" spans="1:11" s="52" customFormat="1" ht="41.25" customHeight="1">
      <c r="A2" s="206" t="s">
        <v>80</v>
      </c>
      <c r="B2" s="207"/>
      <c r="C2" s="207"/>
      <c r="D2" s="207"/>
    </row>
    <row r="3" spans="1:11" s="53" customFormat="1">
      <c r="A3" s="208" t="s">
        <v>302</v>
      </c>
      <c r="B3" s="208"/>
      <c r="C3" s="208"/>
      <c r="D3" s="203"/>
    </row>
    <row r="4" spans="1:11" s="55" customFormat="1" ht="16.5" thickBot="1">
      <c r="A4" s="199" t="s">
        <v>81</v>
      </c>
      <c r="B4" s="200"/>
      <c r="C4" s="54"/>
    </row>
    <row r="5" spans="1:11" s="53" customFormat="1" ht="15.75" thickBot="1">
      <c r="A5" s="213"/>
      <c r="B5" s="214"/>
      <c r="C5" s="214"/>
      <c r="D5" s="215"/>
    </row>
    <row r="6" spans="1:11" s="53" customFormat="1" ht="18.75" customHeight="1">
      <c r="A6" s="216" t="s">
        <v>43</v>
      </c>
      <c r="B6" s="210"/>
      <c r="C6" s="55"/>
    </row>
    <row r="7" spans="1:11" s="53" customFormat="1" ht="19.5">
      <c r="A7" s="57" t="s">
        <v>4</v>
      </c>
      <c r="B7" s="56"/>
    </row>
    <row r="8" spans="1:11" s="53" customFormat="1" ht="19.5">
      <c r="A8" s="58" t="s">
        <v>31</v>
      </c>
      <c r="B8" s="59" t="s">
        <v>0</v>
      </c>
      <c r="C8" s="60" t="s">
        <v>82</v>
      </c>
      <c r="D8" s="61" t="s">
        <v>83</v>
      </c>
    </row>
    <row r="9" spans="1:11" s="53" customFormat="1" ht="107.25" customHeight="1">
      <c r="A9" s="62" t="s">
        <v>32</v>
      </c>
      <c r="B9" s="63" t="s">
        <v>305</v>
      </c>
      <c r="C9" s="64">
        <v>999</v>
      </c>
      <c r="D9" s="65">
        <v>350</v>
      </c>
    </row>
    <row r="10" spans="1:11" s="53" customFormat="1" ht="107.25" customHeight="1">
      <c r="A10" s="66" t="s">
        <v>84</v>
      </c>
      <c r="B10" s="67" t="s">
        <v>306</v>
      </c>
      <c r="C10" s="68">
        <f>(C9*5)*0.8</f>
        <v>3996</v>
      </c>
      <c r="D10" s="69">
        <f>C10-(C10*0.65)</f>
        <v>1398.6</v>
      </c>
      <c r="E10" s="52"/>
      <c r="F10" s="52"/>
      <c r="G10" s="52"/>
      <c r="H10" s="52"/>
      <c r="I10" s="52"/>
      <c r="J10" s="52"/>
      <c r="K10" s="52"/>
    </row>
    <row r="11" spans="1:11" s="53" customFormat="1" ht="107.25" customHeight="1">
      <c r="A11" s="62" t="s">
        <v>85</v>
      </c>
      <c r="B11" s="63" t="s">
        <v>307</v>
      </c>
      <c r="C11" s="158">
        <f>(C9*10)*0.8</f>
        <v>7992</v>
      </c>
      <c r="D11" s="65">
        <f>C11-(C11*0.65)</f>
        <v>2797.2</v>
      </c>
      <c r="E11" s="52"/>
      <c r="F11" s="52"/>
      <c r="G11" s="52"/>
      <c r="H11" s="52"/>
      <c r="I11" s="52"/>
      <c r="J11" s="52"/>
      <c r="K11" s="52"/>
    </row>
    <row r="12" spans="1:11" s="53" customFormat="1" ht="21.75" customHeight="1" thickBot="1">
      <c r="A12" s="157" t="s">
        <v>86</v>
      </c>
    </row>
    <row r="13" spans="1:11" s="53" customFormat="1" ht="21.75" customHeight="1" thickBot="1">
      <c r="A13" s="70" t="s">
        <v>31</v>
      </c>
      <c r="B13" s="71" t="s">
        <v>0</v>
      </c>
      <c r="C13" s="211" t="s">
        <v>87</v>
      </c>
      <c r="D13" s="212"/>
    </row>
    <row r="14" spans="1:11" s="53" customFormat="1" ht="73.5" customHeight="1">
      <c r="A14" s="66" t="s">
        <v>88</v>
      </c>
      <c r="B14" s="67" t="s">
        <v>89</v>
      </c>
      <c r="C14" s="72">
        <f>750*1</f>
        <v>750</v>
      </c>
      <c r="D14" s="73">
        <f t="shared" ref="D14:D26" si="0">C14-(C14*0.65)</f>
        <v>262.5</v>
      </c>
    </row>
    <row r="15" spans="1:11" s="53" customFormat="1" ht="73.5" customHeight="1">
      <c r="A15" s="74" t="s">
        <v>90</v>
      </c>
      <c r="B15" s="63" t="s">
        <v>91</v>
      </c>
      <c r="C15" s="75">
        <f>750*2</f>
        <v>1500</v>
      </c>
      <c r="D15" s="65">
        <f t="shared" si="0"/>
        <v>525</v>
      </c>
    </row>
    <row r="16" spans="1:11" s="53" customFormat="1" ht="73.5" customHeight="1">
      <c r="A16" s="76" t="s">
        <v>92</v>
      </c>
      <c r="B16" s="67" t="s">
        <v>93</v>
      </c>
      <c r="C16" s="72">
        <f>750*3</f>
        <v>2250</v>
      </c>
      <c r="D16" s="69">
        <f t="shared" si="0"/>
        <v>787.5</v>
      </c>
    </row>
    <row r="17" spans="1:4" s="53" customFormat="1" ht="66">
      <c r="A17" s="77" t="s">
        <v>94</v>
      </c>
      <c r="B17" s="78" t="s">
        <v>95</v>
      </c>
      <c r="C17" s="75">
        <f>750*4</f>
        <v>3000</v>
      </c>
      <c r="D17" s="65">
        <f t="shared" si="0"/>
        <v>1050</v>
      </c>
    </row>
    <row r="18" spans="1:4" s="53" customFormat="1" ht="66">
      <c r="A18" s="79" t="s">
        <v>96</v>
      </c>
      <c r="B18" s="80" t="s">
        <v>97</v>
      </c>
      <c r="C18" s="72">
        <f>750*5</f>
        <v>3750</v>
      </c>
      <c r="D18" s="69">
        <f t="shared" si="0"/>
        <v>1312.5</v>
      </c>
    </row>
    <row r="19" spans="1:4" s="53" customFormat="1" ht="66">
      <c r="A19" s="77" t="s">
        <v>98</v>
      </c>
      <c r="B19" s="78" t="s">
        <v>99</v>
      </c>
      <c r="C19" s="75">
        <f>750*6</f>
        <v>4500</v>
      </c>
      <c r="D19" s="65">
        <f t="shared" si="0"/>
        <v>1575</v>
      </c>
    </row>
    <row r="20" spans="1:4" s="53" customFormat="1" ht="66">
      <c r="A20" s="79" t="s">
        <v>100</v>
      </c>
      <c r="B20" s="80" t="s">
        <v>101</v>
      </c>
      <c r="C20" s="72">
        <f>750*7</f>
        <v>5250</v>
      </c>
      <c r="D20" s="69">
        <f t="shared" si="0"/>
        <v>1837.5</v>
      </c>
    </row>
    <row r="21" spans="1:4" s="53" customFormat="1" ht="66">
      <c r="A21" s="77" t="s">
        <v>102</v>
      </c>
      <c r="B21" s="78" t="s">
        <v>103</v>
      </c>
      <c r="C21" s="81">
        <f>500*11</f>
        <v>5500</v>
      </c>
      <c r="D21" s="65">
        <f t="shared" si="0"/>
        <v>1925</v>
      </c>
    </row>
    <row r="22" spans="1:4" s="53" customFormat="1" ht="66">
      <c r="A22" s="79" t="s">
        <v>104</v>
      </c>
      <c r="B22" s="80" t="s">
        <v>105</v>
      </c>
      <c r="C22" s="82">
        <f>500*15</f>
        <v>7500</v>
      </c>
      <c r="D22" s="69">
        <f t="shared" si="0"/>
        <v>2625</v>
      </c>
    </row>
    <row r="23" spans="1:4" s="53" customFormat="1" ht="66">
      <c r="A23" s="77" t="s">
        <v>106</v>
      </c>
      <c r="B23" s="78" t="s">
        <v>107</v>
      </c>
      <c r="C23" s="81">
        <f>500*31</f>
        <v>15500</v>
      </c>
      <c r="D23" s="65">
        <f t="shared" si="0"/>
        <v>5425</v>
      </c>
    </row>
    <row r="24" spans="1:4" s="53" customFormat="1" ht="66">
      <c r="A24" s="79" t="s">
        <v>108</v>
      </c>
      <c r="B24" s="80" t="s">
        <v>109</v>
      </c>
      <c r="C24" s="82">
        <f>500*63</f>
        <v>31500</v>
      </c>
      <c r="D24" s="69">
        <f t="shared" si="0"/>
        <v>11025</v>
      </c>
    </row>
    <row r="25" spans="1:4" s="53" customFormat="1" ht="66">
      <c r="A25" s="77" t="s">
        <v>110</v>
      </c>
      <c r="B25" s="78" t="s">
        <v>111</v>
      </c>
      <c r="C25" s="81">
        <f>500*127</f>
        <v>63500</v>
      </c>
      <c r="D25" s="65">
        <f t="shared" si="0"/>
        <v>22225</v>
      </c>
    </row>
    <row r="26" spans="1:4" s="53" customFormat="1" ht="66">
      <c r="A26" s="79" t="s">
        <v>112</v>
      </c>
      <c r="B26" s="80" t="s">
        <v>113</v>
      </c>
      <c r="C26" s="82">
        <f>500*255</f>
        <v>127500</v>
      </c>
      <c r="D26" s="69">
        <f t="shared" si="0"/>
        <v>44625</v>
      </c>
    </row>
    <row r="27" spans="1:4" s="51" customFormat="1" ht="14.25">
      <c r="A27" s="50"/>
      <c r="B27" s="50"/>
      <c r="C27" s="50"/>
    </row>
    <row r="28" spans="1:4" s="52" customFormat="1" ht="33.75">
      <c r="A28" s="206" t="s">
        <v>80</v>
      </c>
      <c r="B28" s="207"/>
      <c r="C28" s="207"/>
      <c r="D28" s="207"/>
    </row>
    <row r="29" spans="1:4" s="53" customFormat="1">
      <c r="A29" s="208" t="s">
        <v>302</v>
      </c>
      <c r="B29" s="208"/>
      <c r="C29" s="208"/>
      <c r="D29" s="203"/>
    </row>
    <row r="30" spans="1:4" s="55" customFormat="1" ht="15.75">
      <c r="A30" s="199" t="s">
        <v>81</v>
      </c>
      <c r="B30" s="200"/>
      <c r="C30" s="54"/>
    </row>
    <row r="31" spans="1:4" s="53" customFormat="1" ht="20.25" thickBot="1">
      <c r="A31" s="83" t="s">
        <v>114</v>
      </c>
    </row>
    <row r="32" spans="1:4" s="53" customFormat="1" ht="20.25" thickBot="1">
      <c r="A32" s="70" t="s">
        <v>31</v>
      </c>
      <c r="B32" s="71" t="s">
        <v>0</v>
      </c>
      <c r="C32" s="60" t="s">
        <v>82</v>
      </c>
      <c r="D32" s="61" t="s">
        <v>83</v>
      </c>
    </row>
    <row r="33" spans="1:4" s="87" customFormat="1" ht="16.5">
      <c r="A33" s="84" t="s">
        <v>115</v>
      </c>
      <c r="B33" s="85" t="s">
        <v>116</v>
      </c>
      <c r="C33" s="86">
        <f>C9*0.1</f>
        <v>99.9</v>
      </c>
      <c r="D33" s="86">
        <f>D9*0.1</f>
        <v>35</v>
      </c>
    </row>
    <row r="34" spans="1:4" s="53" customFormat="1" ht="33">
      <c r="A34" s="88" t="s">
        <v>117</v>
      </c>
      <c r="B34" s="89" t="s">
        <v>118</v>
      </c>
      <c r="C34" s="90">
        <f>(C9+C14)*0.1</f>
        <v>174.9</v>
      </c>
      <c r="D34" s="90">
        <f>(D9+D14)*0.1</f>
        <v>61.25</v>
      </c>
    </row>
    <row r="35" spans="1:4" s="53" customFormat="1" ht="33">
      <c r="A35" s="84" t="s">
        <v>119</v>
      </c>
      <c r="B35" s="85" t="s">
        <v>120</v>
      </c>
      <c r="C35" s="86">
        <f>(C9+C15)*0.1</f>
        <v>249.9</v>
      </c>
      <c r="D35" s="86">
        <f>(D9+D15)*0.1</f>
        <v>87.5</v>
      </c>
    </row>
    <row r="36" spans="1:4" s="53" customFormat="1" ht="33">
      <c r="A36" s="88" t="s">
        <v>121</v>
      </c>
      <c r="B36" s="89" t="s">
        <v>122</v>
      </c>
      <c r="C36" s="90">
        <f>(C9+C16)*0.1</f>
        <v>324.90000000000003</v>
      </c>
      <c r="D36" s="90">
        <f>(D9+D16)*0.1</f>
        <v>113.75</v>
      </c>
    </row>
    <row r="37" spans="1:4" s="53" customFormat="1" ht="33">
      <c r="A37" s="84" t="s">
        <v>123</v>
      </c>
      <c r="B37" s="85" t="s">
        <v>124</v>
      </c>
      <c r="C37" s="86">
        <f>(C9+C17)*0.1</f>
        <v>399.90000000000003</v>
      </c>
      <c r="D37" s="86">
        <f>(D9+D17)*0.1</f>
        <v>140</v>
      </c>
    </row>
    <row r="38" spans="1:4" s="53" customFormat="1" ht="33">
      <c r="A38" s="88" t="s">
        <v>125</v>
      </c>
      <c r="B38" s="89" t="s">
        <v>126</v>
      </c>
      <c r="C38" s="90">
        <f>(C9+C18)*0.1</f>
        <v>474.90000000000003</v>
      </c>
      <c r="D38" s="90">
        <f>(D9+D18)*0.1</f>
        <v>166.25</v>
      </c>
    </row>
    <row r="39" spans="1:4" s="53" customFormat="1" ht="33">
      <c r="A39" s="84" t="s">
        <v>127</v>
      </c>
      <c r="B39" s="85" t="s">
        <v>128</v>
      </c>
      <c r="C39" s="86">
        <f>(C9+C19)*0.1</f>
        <v>549.9</v>
      </c>
      <c r="D39" s="86">
        <f>(D9+D19)*0.1</f>
        <v>192.5</v>
      </c>
    </row>
    <row r="40" spans="1:4" s="53" customFormat="1" ht="33">
      <c r="A40" s="88" t="s">
        <v>129</v>
      </c>
      <c r="B40" s="89" t="s">
        <v>130</v>
      </c>
      <c r="C40" s="90">
        <f>(C9+C20)*0.1</f>
        <v>624.90000000000009</v>
      </c>
      <c r="D40" s="90">
        <f>(D9+D20)*0.1</f>
        <v>218.75</v>
      </c>
    </row>
    <row r="41" spans="1:4" s="53" customFormat="1" ht="33">
      <c r="A41" s="84" t="s">
        <v>131</v>
      </c>
      <c r="B41" s="85" t="s">
        <v>132</v>
      </c>
      <c r="C41" s="86">
        <f>(C9+C21)*0.1</f>
        <v>649.90000000000009</v>
      </c>
      <c r="D41" s="86">
        <f>(D9+D21)*0.1</f>
        <v>227.5</v>
      </c>
    </row>
    <row r="42" spans="1:4" s="53" customFormat="1" ht="33">
      <c r="A42" s="88" t="s">
        <v>133</v>
      </c>
      <c r="B42" s="89" t="s">
        <v>134</v>
      </c>
      <c r="C42" s="90">
        <f>(C9+C22)*0.1</f>
        <v>849.90000000000009</v>
      </c>
      <c r="D42" s="90">
        <f>(D9+D22)*0.1</f>
        <v>297.5</v>
      </c>
    </row>
    <row r="43" spans="1:4" s="53" customFormat="1" ht="33">
      <c r="A43" s="84" t="s">
        <v>135</v>
      </c>
      <c r="B43" s="85" t="s">
        <v>136</v>
      </c>
      <c r="C43" s="86">
        <f>(C9+C23)*0.1</f>
        <v>1649.9</v>
      </c>
      <c r="D43" s="86">
        <f>(D9+D23)*0.1</f>
        <v>577.5</v>
      </c>
    </row>
    <row r="44" spans="1:4" s="53" customFormat="1" ht="33">
      <c r="A44" s="88" t="s">
        <v>137</v>
      </c>
      <c r="B44" s="89" t="s">
        <v>138</v>
      </c>
      <c r="C44" s="90">
        <f>(C9+C24)*0.1</f>
        <v>3249.9</v>
      </c>
      <c r="D44" s="90">
        <f>(D9+D24)*0.1</f>
        <v>1137.5</v>
      </c>
    </row>
    <row r="45" spans="1:4" s="53" customFormat="1" ht="33">
      <c r="A45" s="84" t="s">
        <v>139</v>
      </c>
      <c r="B45" s="85" t="s">
        <v>140</v>
      </c>
      <c r="C45" s="86">
        <f>(C9+C25)*0.1</f>
        <v>6449.9000000000005</v>
      </c>
      <c r="D45" s="86">
        <f>(D9+D25)*0.1</f>
        <v>2257.5</v>
      </c>
    </row>
    <row r="46" spans="1:4" s="53" customFormat="1" ht="33">
      <c r="A46" s="88" t="s">
        <v>141</v>
      </c>
      <c r="B46" s="89" t="s">
        <v>142</v>
      </c>
      <c r="C46" s="90">
        <f>(C9+C26)*0.1</f>
        <v>12849.900000000001</v>
      </c>
      <c r="D46" s="90">
        <f>(D9+D26)*0.1</f>
        <v>4497.5</v>
      </c>
    </row>
    <row r="47" spans="1:4" s="53" customFormat="1" ht="20.25" thickBot="1">
      <c r="A47" s="91" t="s">
        <v>143</v>
      </c>
    </row>
    <row r="48" spans="1:4" s="53" customFormat="1" ht="20.25" thickBot="1">
      <c r="A48" s="70" t="s">
        <v>31</v>
      </c>
      <c r="B48" s="70" t="s">
        <v>0</v>
      </c>
      <c r="C48" s="92" t="s">
        <v>82</v>
      </c>
      <c r="D48" s="93" t="s">
        <v>83</v>
      </c>
    </row>
    <row r="49" spans="1:4" s="53" customFormat="1" ht="16.5">
      <c r="A49" s="84" t="s">
        <v>144</v>
      </c>
      <c r="B49" s="85" t="s">
        <v>145</v>
      </c>
      <c r="C49" s="94">
        <f>C9*0.2</f>
        <v>199.8</v>
      </c>
      <c r="D49" s="94">
        <f t="shared" ref="D49" si="1">D9*0.2</f>
        <v>70</v>
      </c>
    </row>
    <row r="50" spans="1:4" s="53" customFormat="1" ht="16.5">
      <c r="A50" s="88" t="s">
        <v>146</v>
      </c>
      <c r="B50" s="89" t="s">
        <v>147</v>
      </c>
      <c r="C50" s="90">
        <f>(C9+C14)*0.2</f>
        <v>349.8</v>
      </c>
      <c r="D50" s="90">
        <f t="shared" ref="D50" si="2">(D9+D14)*0.2</f>
        <v>122.5</v>
      </c>
    </row>
    <row r="51" spans="1:4" s="53" customFormat="1" ht="16.5">
      <c r="A51" s="84" t="s">
        <v>148</v>
      </c>
      <c r="B51" s="85" t="s">
        <v>149</v>
      </c>
      <c r="C51" s="86">
        <f>(C9+C15)*0.2</f>
        <v>499.8</v>
      </c>
      <c r="D51" s="86">
        <f t="shared" ref="D51" si="3">(D9+D15)*0.2</f>
        <v>175</v>
      </c>
    </row>
    <row r="52" spans="1:4" s="53" customFormat="1" ht="16.5">
      <c r="A52" s="88" t="s">
        <v>150</v>
      </c>
      <c r="B52" s="89" t="s">
        <v>151</v>
      </c>
      <c r="C52" s="90">
        <f>(C9+C16)*0.2</f>
        <v>649.80000000000007</v>
      </c>
      <c r="D52" s="90">
        <f t="shared" ref="D52" si="4">(D9+D16)*0.2</f>
        <v>227.5</v>
      </c>
    </row>
    <row r="53" spans="1:4" s="53" customFormat="1" ht="16.5">
      <c r="A53" s="84" t="s">
        <v>152</v>
      </c>
      <c r="B53" s="85" t="s">
        <v>153</v>
      </c>
      <c r="C53" s="86">
        <f>(C9+C17)*0.2</f>
        <v>799.80000000000007</v>
      </c>
      <c r="D53" s="86">
        <f t="shared" ref="D53" si="5">(D9+D17)*0.2</f>
        <v>280</v>
      </c>
    </row>
    <row r="54" spans="1:4" s="53" customFormat="1" ht="16.5">
      <c r="A54" s="88" t="s">
        <v>154</v>
      </c>
      <c r="B54" s="89" t="s">
        <v>155</v>
      </c>
      <c r="C54" s="90">
        <f>(C9+C18)*0.2</f>
        <v>949.80000000000007</v>
      </c>
      <c r="D54" s="90">
        <f t="shared" ref="D54" si="6">(D9+D18)*0.2</f>
        <v>332.5</v>
      </c>
    </row>
    <row r="55" spans="1:4" s="53" customFormat="1" ht="16.5">
      <c r="A55" s="84" t="s">
        <v>156</v>
      </c>
      <c r="B55" s="85" t="s">
        <v>157</v>
      </c>
      <c r="C55" s="86">
        <f>(C9+C19)*0.2</f>
        <v>1099.8</v>
      </c>
      <c r="D55" s="86">
        <f t="shared" ref="D55" si="7">(D9+D19)*0.2</f>
        <v>385</v>
      </c>
    </row>
    <row r="56" spans="1:4" s="53" customFormat="1" ht="16.5">
      <c r="A56" s="88" t="s">
        <v>158</v>
      </c>
      <c r="B56" s="89" t="s">
        <v>159</v>
      </c>
      <c r="C56" s="90">
        <f>(C9+C20)*0.2</f>
        <v>1249.8000000000002</v>
      </c>
      <c r="D56" s="90">
        <f t="shared" ref="D56" si="8">(D9+D20)*0.2</f>
        <v>437.5</v>
      </c>
    </row>
    <row r="57" spans="1:4" s="53" customFormat="1" ht="16.5">
      <c r="A57" s="84" t="s">
        <v>160</v>
      </c>
      <c r="B57" s="85" t="s">
        <v>161</v>
      </c>
      <c r="C57" s="86">
        <f>(C9+C21)*0.2</f>
        <v>1299.8000000000002</v>
      </c>
      <c r="D57" s="86">
        <f t="shared" ref="D57" si="9">(D9+D21)*0.2</f>
        <v>455</v>
      </c>
    </row>
    <row r="58" spans="1:4" s="53" customFormat="1" ht="16.5">
      <c r="A58" s="88" t="s">
        <v>162</v>
      </c>
      <c r="B58" s="89" t="s">
        <v>163</v>
      </c>
      <c r="C58" s="90">
        <f>(C9+C22)*0.2</f>
        <v>1699.8000000000002</v>
      </c>
      <c r="D58" s="90">
        <f t="shared" ref="D58" si="10">(D9+D22)*0.2</f>
        <v>595</v>
      </c>
    </row>
    <row r="59" spans="1:4" s="53" customFormat="1" ht="16.5">
      <c r="A59" s="84" t="s">
        <v>164</v>
      </c>
      <c r="B59" s="85" t="s">
        <v>165</v>
      </c>
      <c r="C59" s="86">
        <f>(C9+C23)*0.2</f>
        <v>3299.8</v>
      </c>
      <c r="D59" s="86">
        <f t="shared" ref="D59" si="11">(D9+D23)*0.2</f>
        <v>1155</v>
      </c>
    </row>
    <row r="60" spans="1:4" s="51" customFormat="1" ht="16.5">
      <c r="A60" s="88" t="s">
        <v>166</v>
      </c>
      <c r="B60" s="89" t="s">
        <v>167</v>
      </c>
      <c r="C60" s="90">
        <f>(C9+C24)*0.2</f>
        <v>6499.8</v>
      </c>
      <c r="D60" s="90">
        <f t="shared" ref="D60" si="12">(D9+D24)*0.2</f>
        <v>2275</v>
      </c>
    </row>
    <row r="61" spans="1:4" s="52" customFormat="1" ht="16.5">
      <c r="A61" s="84" t="s">
        <v>168</v>
      </c>
      <c r="B61" s="85" t="s">
        <v>169</v>
      </c>
      <c r="C61" s="86">
        <f>(C9+C25)*0.2</f>
        <v>12899.800000000001</v>
      </c>
      <c r="D61" s="86">
        <f t="shared" ref="D61" si="13">(D9+D25)*0.2</f>
        <v>4515</v>
      </c>
    </row>
    <row r="62" spans="1:4" s="53" customFormat="1" ht="16.5">
      <c r="A62" s="88" t="s">
        <v>170</v>
      </c>
      <c r="B62" s="89" t="s">
        <v>171</v>
      </c>
      <c r="C62" s="90">
        <f>(C9+C26)*0.2</f>
        <v>25699.800000000003</v>
      </c>
      <c r="D62" s="90">
        <f>(D9+D26)*0.2</f>
        <v>8995</v>
      </c>
    </row>
    <row r="63" spans="1:4" s="53" customFormat="1" ht="24">
      <c r="A63" s="95" t="s">
        <v>172</v>
      </c>
      <c r="C63" s="96"/>
    </row>
    <row r="64" spans="1:4" s="53" customFormat="1" ht="15" customHeight="1" thickBot="1">
      <c r="A64" s="209" t="s">
        <v>173</v>
      </c>
      <c r="B64" s="210"/>
      <c r="C64" s="96"/>
    </row>
    <row r="65" spans="1:4" s="53" customFormat="1" ht="20.25" thickBot="1">
      <c r="A65" s="70" t="s">
        <v>31</v>
      </c>
      <c r="B65" s="70" t="s">
        <v>0</v>
      </c>
      <c r="C65" s="60" t="s">
        <v>82</v>
      </c>
      <c r="D65" s="61" t="s">
        <v>83</v>
      </c>
    </row>
    <row r="66" spans="1:4" s="53" customFormat="1" ht="82.5">
      <c r="A66" s="97" t="s">
        <v>174</v>
      </c>
      <c r="B66" s="97" t="s">
        <v>175</v>
      </c>
      <c r="C66" s="98">
        <v>995</v>
      </c>
      <c r="D66" s="99">
        <f>C66-(C66*0.65)</f>
        <v>348.25</v>
      </c>
    </row>
    <row r="67" spans="1:4" s="53" customFormat="1" ht="16.5">
      <c r="A67" s="66" t="s">
        <v>176</v>
      </c>
      <c r="B67" s="67" t="s">
        <v>177</v>
      </c>
      <c r="C67" s="68">
        <f>C66*0.1</f>
        <v>99.5</v>
      </c>
      <c r="D67" s="90">
        <f>D66*0.1</f>
        <v>34.825000000000003</v>
      </c>
    </row>
    <row r="68" spans="1:4" s="53" customFormat="1" ht="24.75" thickBot="1">
      <c r="A68" s="100" t="s">
        <v>178</v>
      </c>
      <c r="B68" s="101"/>
    </row>
    <row r="69" spans="1:4" s="53" customFormat="1" ht="20.25" thickBot="1">
      <c r="A69" s="70" t="s">
        <v>31</v>
      </c>
      <c r="B69" s="70" t="s">
        <v>0</v>
      </c>
      <c r="C69" s="60" t="s">
        <v>82</v>
      </c>
      <c r="D69" s="61" t="s">
        <v>83</v>
      </c>
    </row>
    <row r="70" spans="1:4" s="53" customFormat="1" ht="16.5">
      <c r="A70" s="102" t="s">
        <v>41</v>
      </c>
      <c r="B70" s="103" t="s">
        <v>309</v>
      </c>
      <c r="C70" s="94">
        <v>3950</v>
      </c>
      <c r="D70" s="99">
        <f>C70-(C70*0.65)</f>
        <v>1382.5</v>
      </c>
    </row>
    <row r="71" spans="1:4" s="53" customFormat="1" ht="16.5">
      <c r="A71" s="88" t="s">
        <v>179</v>
      </c>
      <c r="B71" s="67" t="s">
        <v>180</v>
      </c>
      <c r="C71" s="68">
        <f>C70*0.1</f>
        <v>395</v>
      </c>
      <c r="D71" s="90">
        <f>D70*0.1</f>
        <v>138.25</v>
      </c>
    </row>
    <row r="72" spans="1:4" s="53" customFormat="1" ht="24.75" thickBot="1">
      <c r="A72" s="100" t="s">
        <v>242</v>
      </c>
      <c r="B72" s="101"/>
    </row>
    <row r="73" spans="1:4" s="53" customFormat="1" ht="20.25" thickBot="1">
      <c r="A73" s="70" t="s">
        <v>31</v>
      </c>
      <c r="B73" s="70" t="s">
        <v>0</v>
      </c>
      <c r="C73" s="60" t="s">
        <v>82</v>
      </c>
      <c r="D73" s="61" t="s">
        <v>83</v>
      </c>
    </row>
    <row r="74" spans="1:4" s="53" customFormat="1" ht="16.5">
      <c r="A74" s="102" t="s">
        <v>39</v>
      </c>
      <c r="B74" s="103" t="s">
        <v>243</v>
      </c>
      <c r="C74" s="94">
        <v>395</v>
      </c>
      <c r="D74" s="99">
        <f>C74-(C74*0.65)</f>
        <v>138.25</v>
      </c>
    </row>
    <row r="75" spans="1:4" s="53" customFormat="1" ht="16.5">
      <c r="A75" s="88" t="s">
        <v>244</v>
      </c>
      <c r="B75" s="67" t="s">
        <v>245</v>
      </c>
      <c r="C75" s="68">
        <f>C74*0.1</f>
        <v>39.5</v>
      </c>
      <c r="D75" s="90">
        <f>D74*0.1</f>
        <v>13.825000000000001</v>
      </c>
    </row>
    <row r="76" spans="1:4" s="53" customFormat="1" ht="24.75" thickBot="1">
      <c r="A76" s="100" t="s">
        <v>291</v>
      </c>
      <c r="B76" s="101"/>
    </row>
    <row r="77" spans="1:4" s="53" customFormat="1" ht="20.25" thickBot="1">
      <c r="A77" s="70" t="s">
        <v>31</v>
      </c>
      <c r="B77" s="70" t="s">
        <v>0</v>
      </c>
      <c r="C77" s="60" t="s">
        <v>82</v>
      </c>
      <c r="D77" s="61" t="s">
        <v>83</v>
      </c>
    </row>
    <row r="78" spans="1:4" s="53" customFormat="1" ht="16.5">
      <c r="A78" s="102" t="s">
        <v>292</v>
      </c>
      <c r="B78" s="103" t="s">
        <v>295</v>
      </c>
      <c r="C78" s="94">
        <v>395</v>
      </c>
      <c r="D78" s="99">
        <f>C78-(C78*0.65)</f>
        <v>138.25</v>
      </c>
    </row>
    <row r="79" spans="1:4" s="53" customFormat="1" ht="16.5">
      <c r="A79" s="88" t="s">
        <v>293</v>
      </c>
      <c r="B79" s="67" t="s">
        <v>294</v>
      </c>
      <c r="C79" s="68">
        <f>C78*0.1</f>
        <v>39.5</v>
      </c>
      <c r="D79" s="90">
        <f>D78*0.1</f>
        <v>13.825000000000001</v>
      </c>
    </row>
    <row r="80" spans="1:4" s="53" customFormat="1" ht="24.75" thickBot="1">
      <c r="A80" s="100" t="s">
        <v>181</v>
      </c>
      <c r="B80" s="101"/>
    </row>
    <row r="81" spans="1:4" s="53" customFormat="1" ht="20.25" thickBot="1">
      <c r="A81" s="70" t="s">
        <v>31</v>
      </c>
      <c r="B81" s="70" t="s">
        <v>0</v>
      </c>
      <c r="C81" s="60" t="s">
        <v>82</v>
      </c>
      <c r="D81" s="61" t="s">
        <v>83</v>
      </c>
    </row>
    <row r="82" spans="1:4" s="53" customFormat="1" ht="40.5" customHeight="1">
      <c r="A82" s="84" t="s">
        <v>182</v>
      </c>
      <c r="B82" s="63" t="s">
        <v>183</v>
      </c>
      <c r="C82" s="64">
        <v>3711.2</v>
      </c>
      <c r="D82" s="65">
        <f>C82-(C82*0.65)</f>
        <v>1298.92</v>
      </c>
    </row>
    <row r="83" spans="1:4" s="53" customFormat="1" ht="16.5">
      <c r="A83" s="88" t="s">
        <v>184</v>
      </c>
      <c r="B83" s="89" t="s">
        <v>185</v>
      </c>
      <c r="C83" s="68">
        <f>C82*0.1</f>
        <v>371.12</v>
      </c>
      <c r="D83" s="90">
        <f>D82*0.1</f>
        <v>129.89200000000002</v>
      </c>
    </row>
    <row r="84" spans="1:4" s="87" customFormat="1" ht="16.5">
      <c r="A84" s="104"/>
      <c r="B84" s="105"/>
      <c r="C84" s="106"/>
      <c r="D84" s="106"/>
    </row>
    <row r="85" spans="1:4" s="52" customFormat="1" ht="33.75">
      <c r="A85" s="206" t="s">
        <v>80</v>
      </c>
      <c r="B85" s="207"/>
      <c r="C85" s="207"/>
      <c r="D85" s="207"/>
    </row>
    <row r="86" spans="1:4" s="53" customFormat="1">
      <c r="A86" s="208" t="s">
        <v>302</v>
      </c>
      <c r="B86" s="208"/>
      <c r="C86" s="208"/>
      <c r="D86" s="203"/>
    </row>
    <row r="87" spans="1:4" s="55" customFormat="1" ht="16.5" thickBot="1">
      <c r="A87" s="199" t="s">
        <v>81</v>
      </c>
      <c r="B87" s="200"/>
      <c r="C87" s="54"/>
    </row>
    <row r="88" spans="1:4" s="53" customFormat="1" ht="13.5" thickBot="1">
      <c r="A88" s="107"/>
      <c r="B88" s="108"/>
      <c r="C88" s="108"/>
      <c r="D88" s="109"/>
    </row>
    <row r="89" spans="1:4" s="53" customFormat="1" ht="24">
      <c r="A89" s="201" t="s">
        <v>186</v>
      </c>
      <c r="B89" s="201"/>
    </row>
    <row r="90" spans="1:4" s="53" customFormat="1" ht="20.25" thickBot="1">
      <c r="A90" s="110" t="s">
        <v>4</v>
      </c>
      <c r="C90" s="202" t="s">
        <v>187</v>
      </c>
      <c r="D90" s="203"/>
    </row>
    <row r="91" spans="1:4" s="53" customFormat="1" ht="20.25" thickBot="1">
      <c r="A91" s="70" t="s">
        <v>31</v>
      </c>
      <c r="B91" s="70" t="s">
        <v>0</v>
      </c>
      <c r="C91" s="92" t="s">
        <v>82</v>
      </c>
      <c r="D91" s="93" t="s">
        <v>83</v>
      </c>
    </row>
    <row r="92" spans="1:4" s="53" customFormat="1" ht="165">
      <c r="A92" s="97" t="s">
        <v>287</v>
      </c>
      <c r="B92" s="111" t="s">
        <v>308</v>
      </c>
      <c r="C92" s="98">
        <f>C9*2.5</f>
        <v>2497.5</v>
      </c>
      <c r="D92" s="99">
        <f>C92-(C92*0.65)</f>
        <v>874.125</v>
      </c>
    </row>
    <row r="93" spans="1:4" s="53" customFormat="1" ht="20.25" thickBot="1">
      <c r="A93" s="83" t="s">
        <v>188</v>
      </c>
    </row>
    <row r="94" spans="1:4" s="53" customFormat="1" ht="20.25" thickBot="1">
      <c r="A94" s="70" t="s">
        <v>31</v>
      </c>
      <c r="B94" s="70" t="s">
        <v>0</v>
      </c>
      <c r="C94" s="204" t="s">
        <v>189</v>
      </c>
      <c r="D94" s="205"/>
    </row>
    <row r="95" spans="1:4" s="53" customFormat="1" ht="49.5">
      <c r="A95" s="97" t="s">
        <v>42</v>
      </c>
      <c r="B95" s="111" t="s">
        <v>190</v>
      </c>
      <c r="C95" s="98">
        <f>750*2.5</f>
        <v>1875</v>
      </c>
      <c r="D95" s="99">
        <f t="shared" ref="D95:D96" si="14">C95-(C95*0.65)</f>
        <v>656.25</v>
      </c>
    </row>
    <row r="96" spans="1:4" s="53" customFormat="1" ht="49.5">
      <c r="A96" s="112" t="s">
        <v>191</v>
      </c>
      <c r="B96" s="113" t="s">
        <v>192</v>
      </c>
      <c r="C96" s="114">
        <f>(750*2.5)*2</f>
        <v>3750</v>
      </c>
      <c r="D96" s="73">
        <f t="shared" si="14"/>
        <v>1312.5</v>
      </c>
    </row>
    <row r="97" spans="1:4" s="53" customFormat="1" ht="49.5">
      <c r="A97" s="62" t="s">
        <v>193</v>
      </c>
      <c r="B97" s="63" t="s">
        <v>194</v>
      </c>
      <c r="C97" s="98">
        <f>(750*2.5)*3</f>
        <v>5625</v>
      </c>
      <c r="D97" s="65">
        <f>C97-(C97*0.65)</f>
        <v>1968.75</v>
      </c>
    </row>
    <row r="98" spans="1:4" s="53" customFormat="1" ht="20.25" thickBot="1">
      <c r="A98" s="83" t="s">
        <v>195</v>
      </c>
      <c r="C98" s="96"/>
    </row>
    <row r="99" spans="1:4" s="53" customFormat="1" ht="20.25" thickBot="1">
      <c r="A99" s="70" t="s">
        <v>31</v>
      </c>
      <c r="B99" s="70" t="s">
        <v>0</v>
      </c>
      <c r="C99" s="60" t="s">
        <v>82</v>
      </c>
      <c r="D99" s="61" t="s">
        <v>83</v>
      </c>
    </row>
    <row r="100" spans="1:4" s="53" customFormat="1" ht="33">
      <c r="A100" s="97" t="s">
        <v>196</v>
      </c>
      <c r="B100" s="111" t="s">
        <v>197</v>
      </c>
      <c r="C100" s="94">
        <f>C92*0.1</f>
        <v>249.75</v>
      </c>
      <c r="D100" s="94">
        <f t="shared" ref="D100" si="15">D92*0.1</f>
        <v>87.412500000000009</v>
      </c>
    </row>
    <row r="101" spans="1:4" s="53" customFormat="1" ht="33">
      <c r="A101" s="112" t="s">
        <v>198</v>
      </c>
      <c r="B101" s="113" t="s">
        <v>199</v>
      </c>
      <c r="C101" s="116">
        <f>(C92+C95)*0.1</f>
        <v>437.25</v>
      </c>
      <c r="D101" s="116">
        <f t="shared" ref="D101" si="16">(D92+D95)*0.1</f>
        <v>153.03749999999999</v>
      </c>
    </row>
    <row r="102" spans="1:4" s="53" customFormat="1" ht="33">
      <c r="A102" s="62" t="s">
        <v>200</v>
      </c>
      <c r="B102" s="63" t="s">
        <v>201</v>
      </c>
      <c r="C102" s="86">
        <f>(C92+C96)*0.1</f>
        <v>624.75</v>
      </c>
      <c r="D102" s="86">
        <f t="shared" ref="D102" si="17">(D92+D96)*0.1</f>
        <v>218.66250000000002</v>
      </c>
    </row>
    <row r="103" spans="1:4" s="53" customFormat="1" ht="33">
      <c r="A103" s="66" t="s">
        <v>202</v>
      </c>
      <c r="B103" s="67" t="s">
        <v>203</v>
      </c>
      <c r="C103" s="90">
        <f>(C92+C97)*0.1</f>
        <v>812.25</v>
      </c>
      <c r="D103" s="90">
        <f t="shared" ref="D103" si="18">(D92+D97)*0.1</f>
        <v>284.28750000000002</v>
      </c>
    </row>
    <row r="104" spans="1:4" s="53" customFormat="1" ht="16.5">
      <c r="A104" s="97" t="s">
        <v>204</v>
      </c>
      <c r="B104" s="111" t="s">
        <v>205</v>
      </c>
      <c r="C104" s="94">
        <f>C92*0.2</f>
        <v>499.5</v>
      </c>
      <c r="D104" s="94">
        <f t="shared" ref="D104" si="19">D92*0.2</f>
        <v>174.82500000000002</v>
      </c>
    </row>
    <row r="105" spans="1:4" s="53" customFormat="1" ht="16.5">
      <c r="A105" s="112" t="s">
        <v>206</v>
      </c>
      <c r="B105" s="113" t="s">
        <v>207</v>
      </c>
      <c r="C105" s="116">
        <f>(C92+C95)*0.2</f>
        <v>874.5</v>
      </c>
      <c r="D105" s="116">
        <f t="shared" ref="D105" si="20">(D92+D95)*0.2</f>
        <v>306.07499999999999</v>
      </c>
    </row>
    <row r="106" spans="1:4" s="53" customFormat="1" ht="16.5">
      <c r="A106" s="62" t="s">
        <v>208</v>
      </c>
      <c r="B106" s="63" t="s">
        <v>209</v>
      </c>
      <c r="C106" s="86">
        <f>(C92+C96)*0.1</f>
        <v>624.75</v>
      </c>
      <c r="D106" s="86">
        <f t="shared" ref="D106" si="21">(D92+D96)*0.1</f>
        <v>218.66250000000002</v>
      </c>
    </row>
    <row r="107" spans="1:4" s="53" customFormat="1" ht="16.5">
      <c r="A107" s="66" t="s">
        <v>210</v>
      </c>
      <c r="B107" s="67" t="s">
        <v>211</v>
      </c>
      <c r="C107" s="90">
        <f>(C92+C97)*0.2</f>
        <v>1624.5</v>
      </c>
      <c r="D107" s="90">
        <f t="shared" ref="D107" si="22">(D92+D97)*0.2</f>
        <v>568.57500000000005</v>
      </c>
    </row>
    <row r="108" spans="1:4" s="53" customFormat="1" ht="24.75" thickBot="1">
      <c r="A108" s="100" t="s">
        <v>212</v>
      </c>
      <c r="C108" s="96"/>
    </row>
    <row r="109" spans="1:4" s="53" customFormat="1" ht="20.25" thickBot="1">
      <c r="A109" s="70" t="s">
        <v>31</v>
      </c>
      <c r="B109" s="70" t="s">
        <v>0</v>
      </c>
      <c r="C109" s="60" t="s">
        <v>82</v>
      </c>
      <c r="D109" s="61" t="s">
        <v>83</v>
      </c>
    </row>
    <row r="110" spans="1:4" s="53" customFormat="1" ht="82.5">
      <c r="A110" s="62" t="s">
        <v>45</v>
      </c>
      <c r="B110" s="63" t="s">
        <v>213</v>
      </c>
      <c r="C110" s="64">
        <v>4500</v>
      </c>
      <c r="D110" s="65">
        <f>C110-(C110*0.65)</f>
        <v>1575</v>
      </c>
    </row>
    <row r="111" spans="1:4" s="53" customFormat="1" ht="16.5">
      <c r="A111" s="112" t="s">
        <v>214</v>
      </c>
      <c r="B111" s="113" t="s">
        <v>215</v>
      </c>
      <c r="C111" s="114">
        <v>1000</v>
      </c>
      <c r="D111" s="73">
        <f t="shared" ref="D111" si="23">C111-(C111*0.65)</f>
        <v>350</v>
      </c>
    </row>
    <row r="112" spans="1:4" s="53" customFormat="1" ht="24.75" thickBot="1">
      <c r="A112" s="117" t="s">
        <v>216</v>
      </c>
      <c r="B112" s="118"/>
      <c r="C112" s="115"/>
    </row>
    <row r="113" spans="1:4" s="53" customFormat="1" ht="20.25" thickBot="1">
      <c r="A113" s="70" t="s">
        <v>31</v>
      </c>
      <c r="B113" s="70" t="s">
        <v>0</v>
      </c>
      <c r="C113" s="60" t="s">
        <v>82</v>
      </c>
      <c r="D113" s="61" t="s">
        <v>83</v>
      </c>
    </row>
    <row r="114" spans="1:4" s="53" customFormat="1" ht="16.5">
      <c r="A114" s="119" t="s">
        <v>217</v>
      </c>
      <c r="B114" s="111" t="s">
        <v>218</v>
      </c>
      <c r="C114" s="99">
        <v>750</v>
      </c>
      <c r="D114" s="99" t="s">
        <v>219</v>
      </c>
    </row>
    <row r="115" spans="1:4" s="53" customFormat="1" ht="16.5">
      <c r="A115" s="76" t="s">
        <v>220</v>
      </c>
      <c r="B115" s="66" t="s">
        <v>221</v>
      </c>
      <c r="C115" s="69" t="s">
        <v>219</v>
      </c>
      <c r="D115" s="69">
        <v>100</v>
      </c>
    </row>
    <row r="116" spans="1:4" s="53" customFormat="1" ht="16.5">
      <c r="A116" s="74" t="s">
        <v>222</v>
      </c>
      <c r="B116" s="63" t="s">
        <v>223</v>
      </c>
      <c r="C116" s="65">
        <v>2500</v>
      </c>
      <c r="D116" s="65">
        <v>2500</v>
      </c>
    </row>
    <row r="117" spans="1:4" s="53" customFormat="1" ht="16.5">
      <c r="A117" s="76" t="s">
        <v>224</v>
      </c>
      <c r="B117" s="66" t="s">
        <v>225</v>
      </c>
      <c r="C117" s="69">
        <v>3500</v>
      </c>
      <c r="D117" s="69">
        <v>3500</v>
      </c>
    </row>
    <row r="118" spans="1:4" s="53" customFormat="1" ht="16.5">
      <c r="A118" s="74" t="s">
        <v>226</v>
      </c>
      <c r="B118" s="62" t="s">
        <v>227</v>
      </c>
      <c r="C118" s="65">
        <v>2995</v>
      </c>
      <c r="D118" s="65">
        <v>2995</v>
      </c>
    </row>
    <row r="119" spans="1:4" s="53" customFormat="1" ht="16.5">
      <c r="A119" s="76" t="s">
        <v>228</v>
      </c>
      <c r="B119" s="66" t="s">
        <v>229</v>
      </c>
      <c r="C119" s="69">
        <v>4950</v>
      </c>
      <c r="D119" s="69">
        <v>4950</v>
      </c>
    </row>
    <row r="120" spans="1:4" ht="33">
      <c r="A120" s="74" t="s">
        <v>230</v>
      </c>
      <c r="B120" s="62" t="s">
        <v>231</v>
      </c>
      <c r="C120" s="65">
        <v>8950</v>
      </c>
      <c r="D120" s="65">
        <v>8950</v>
      </c>
    </row>
    <row r="121" spans="1:4" ht="16.5">
      <c r="A121" s="76" t="s">
        <v>232</v>
      </c>
      <c r="B121" s="67" t="s">
        <v>233</v>
      </c>
      <c r="C121" s="69">
        <v>450</v>
      </c>
      <c r="D121" s="69">
        <v>450</v>
      </c>
    </row>
    <row r="122" spans="1:4" ht="16.5">
      <c r="A122" s="74" t="s">
        <v>234</v>
      </c>
      <c r="B122" s="63" t="s">
        <v>235</v>
      </c>
      <c r="C122" s="65">
        <v>5950</v>
      </c>
      <c r="D122" s="65">
        <v>5950</v>
      </c>
    </row>
    <row r="123" spans="1:4" ht="16.5">
      <c r="A123" s="76" t="s">
        <v>236</v>
      </c>
      <c r="B123" s="67" t="s">
        <v>237</v>
      </c>
      <c r="C123" s="69">
        <v>1950</v>
      </c>
      <c r="D123" s="69">
        <v>1950</v>
      </c>
    </row>
    <row r="124" spans="1:4" ht="16.5">
      <c r="A124" s="74" t="s">
        <v>238</v>
      </c>
      <c r="B124" s="63" t="s">
        <v>239</v>
      </c>
      <c r="C124" s="65">
        <v>9950</v>
      </c>
      <c r="D124" s="65">
        <v>9950</v>
      </c>
    </row>
    <row r="125" spans="1:4">
      <c r="D125" s="122"/>
    </row>
    <row r="126" spans="1:4">
      <c r="D126" s="122"/>
    </row>
    <row r="127" spans="1:4">
      <c r="D127" s="122"/>
    </row>
    <row r="128" spans="1:4">
      <c r="D128" s="122"/>
    </row>
    <row r="129" spans="4:4">
      <c r="D129" s="122"/>
    </row>
    <row r="130" spans="4:4">
      <c r="D130" s="122"/>
    </row>
    <row r="131" spans="4:4">
      <c r="D131" s="122"/>
    </row>
    <row r="132" spans="4:4">
      <c r="D132" s="122"/>
    </row>
    <row r="133" spans="4:4">
      <c r="D133" s="122"/>
    </row>
    <row r="134" spans="4:4">
      <c r="D134" s="122"/>
    </row>
    <row r="135" spans="4:4">
      <c r="D135" s="122"/>
    </row>
    <row r="136" spans="4:4">
      <c r="D136" s="122"/>
    </row>
    <row r="137" spans="4:4">
      <c r="D137" s="122"/>
    </row>
    <row r="138" spans="4:4">
      <c r="D138" s="122"/>
    </row>
    <row r="139" spans="4:4">
      <c r="D139" s="122"/>
    </row>
    <row r="140" spans="4:4">
      <c r="D140" s="122"/>
    </row>
    <row r="141" spans="4:4">
      <c r="D141" s="122"/>
    </row>
    <row r="142" spans="4:4">
      <c r="D142" s="122"/>
    </row>
    <row r="143" spans="4:4">
      <c r="D143" s="122"/>
    </row>
    <row r="144" spans="4:4">
      <c r="D144" s="122"/>
    </row>
    <row r="145" spans="4:4">
      <c r="D145" s="122"/>
    </row>
    <row r="146" spans="4:4">
      <c r="D146" s="122"/>
    </row>
    <row r="147" spans="4:4">
      <c r="D147" s="122"/>
    </row>
    <row r="148" spans="4:4">
      <c r="D148" s="122"/>
    </row>
    <row r="149" spans="4:4">
      <c r="D149" s="122"/>
    </row>
    <row r="150" spans="4:4">
      <c r="D150" s="122"/>
    </row>
    <row r="151" spans="4:4">
      <c r="D151" s="122"/>
    </row>
    <row r="152" spans="4:4">
      <c r="D152" s="122"/>
    </row>
    <row r="153" spans="4:4">
      <c r="D153" s="122"/>
    </row>
    <row r="154" spans="4:4">
      <c r="D154" s="122"/>
    </row>
    <row r="155" spans="4:4">
      <c r="D155" s="122"/>
    </row>
    <row r="156" spans="4:4">
      <c r="D156" s="122"/>
    </row>
    <row r="157" spans="4:4">
      <c r="D157" s="122"/>
    </row>
    <row r="158" spans="4:4">
      <c r="D158" s="122"/>
    </row>
    <row r="159" spans="4:4">
      <c r="D159" s="122"/>
    </row>
    <row r="160" spans="4:4">
      <c r="D160" s="122"/>
    </row>
    <row r="161" spans="4:4">
      <c r="D161" s="122"/>
    </row>
    <row r="162" spans="4:4">
      <c r="D162" s="122"/>
    </row>
    <row r="163" spans="4:4">
      <c r="D163" s="122"/>
    </row>
    <row r="164" spans="4:4">
      <c r="D164" s="122"/>
    </row>
    <row r="165" spans="4:4">
      <c r="D165" s="122"/>
    </row>
    <row r="166" spans="4:4">
      <c r="D166" s="122"/>
    </row>
    <row r="167" spans="4:4">
      <c r="D167" s="122"/>
    </row>
    <row r="168" spans="4:4">
      <c r="D168" s="122"/>
    </row>
    <row r="169" spans="4:4">
      <c r="D169" s="122"/>
    </row>
    <row r="170" spans="4:4">
      <c r="D170" s="122"/>
    </row>
    <row r="171" spans="4:4">
      <c r="D171" s="122"/>
    </row>
    <row r="172" spans="4:4">
      <c r="D172" s="122"/>
    </row>
    <row r="173" spans="4:4">
      <c r="D173" s="122"/>
    </row>
    <row r="174" spans="4:4">
      <c r="D174" s="122"/>
    </row>
    <row r="175" spans="4:4">
      <c r="D175" s="122"/>
    </row>
    <row r="176" spans="4:4">
      <c r="D176" s="122"/>
    </row>
    <row r="177" spans="4:4">
      <c r="D177" s="122"/>
    </row>
    <row r="178" spans="4:4">
      <c r="D178" s="122"/>
    </row>
    <row r="179" spans="4:4">
      <c r="D179" s="122"/>
    </row>
  </sheetData>
  <sheetProtection sheet="1" objects="1" scenarios="1"/>
  <mergeCells count="16">
    <mergeCell ref="C13:D13"/>
    <mergeCell ref="A2:D2"/>
    <mergeCell ref="A3:D3"/>
    <mergeCell ref="A4:B4"/>
    <mergeCell ref="A5:D5"/>
    <mergeCell ref="A6:B6"/>
    <mergeCell ref="A87:B87"/>
    <mergeCell ref="A89:B89"/>
    <mergeCell ref="C90:D90"/>
    <mergeCell ref="C94:D94"/>
    <mergeCell ref="A28:D28"/>
    <mergeCell ref="A29:D29"/>
    <mergeCell ref="A30:B30"/>
    <mergeCell ref="A64:B64"/>
    <mergeCell ref="A85:D85"/>
    <mergeCell ref="A86:D86"/>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dimension ref="A1:F28"/>
  <sheetViews>
    <sheetView zoomScaleNormal="100" workbookViewId="0">
      <selection activeCell="J19" sqref="J19"/>
    </sheetView>
  </sheetViews>
  <sheetFormatPr defaultRowHeight="15"/>
  <cols>
    <col min="1" max="1" width="21.85546875" customWidth="1"/>
    <col min="2" max="2" width="14.42578125" customWidth="1"/>
    <col min="3" max="3" width="39.7109375" customWidth="1"/>
    <col min="4" max="4" width="15" customWidth="1"/>
    <col min="5" max="5" width="10.140625" bestFit="1" customWidth="1"/>
    <col min="6" max="6" width="27.7109375" customWidth="1"/>
  </cols>
  <sheetData>
    <row r="1" spans="1:6" ht="44.25" customHeight="1">
      <c r="A1" s="219" t="s">
        <v>297</v>
      </c>
      <c r="B1" s="220"/>
      <c r="C1" s="220"/>
      <c r="D1" s="220"/>
      <c r="E1" s="220"/>
      <c r="F1" s="220"/>
    </row>
    <row r="2" spans="1:6" s="176" customFormat="1" ht="30">
      <c r="A2" s="175" t="s">
        <v>30</v>
      </c>
      <c r="B2" s="175" t="s">
        <v>296</v>
      </c>
      <c r="C2" s="175" t="s">
        <v>0</v>
      </c>
      <c r="D2" s="175" t="s">
        <v>1</v>
      </c>
      <c r="E2" s="175" t="s">
        <v>2</v>
      </c>
      <c r="F2" s="175" t="s">
        <v>31</v>
      </c>
    </row>
    <row r="3" spans="1:6" s="133" customFormat="1" ht="15" customHeight="1"/>
    <row r="4" spans="1:6" s="5" customFormat="1" ht="15" customHeight="1">
      <c r="A4" s="24" t="s">
        <v>43</v>
      </c>
      <c r="B4" s="160"/>
      <c r="C4" s="160"/>
      <c r="D4" s="160"/>
      <c r="E4" s="160"/>
      <c r="F4" s="160"/>
    </row>
    <row r="5" spans="1:6" s="178" customFormat="1" ht="15" customHeight="1">
      <c r="A5" s="178" t="s">
        <v>3</v>
      </c>
      <c r="B5" s="178" t="s">
        <v>33</v>
      </c>
      <c r="C5" s="179" t="s">
        <v>4</v>
      </c>
      <c r="D5" s="180" t="s">
        <v>34</v>
      </c>
      <c r="E5" s="181">
        <v>999</v>
      </c>
      <c r="F5" s="182" t="s">
        <v>32</v>
      </c>
    </row>
    <row r="6" spans="1:6" s="133" customFormat="1" ht="15" customHeight="1">
      <c r="A6" s="162" t="s">
        <v>11</v>
      </c>
      <c r="B6" s="162" t="s">
        <v>33</v>
      </c>
      <c r="C6" s="163" t="s">
        <v>47</v>
      </c>
      <c r="D6" s="177" t="s">
        <v>36</v>
      </c>
      <c r="E6" s="164">
        <v>750</v>
      </c>
      <c r="F6" s="170" t="s">
        <v>37</v>
      </c>
    </row>
    <row r="7" spans="1:6" s="178" customFormat="1" ht="15" customHeight="1">
      <c r="A7" s="178" t="s">
        <v>14</v>
      </c>
      <c r="B7" s="178" t="s">
        <v>33</v>
      </c>
      <c r="C7" s="179" t="s">
        <v>48</v>
      </c>
      <c r="D7" s="180" t="s">
        <v>36</v>
      </c>
      <c r="E7" s="181">
        <v>500</v>
      </c>
      <c r="F7" s="183" t="s">
        <v>38</v>
      </c>
    </row>
    <row r="8" spans="1:6" s="133" customFormat="1" ht="15" customHeight="1">
      <c r="A8" s="162" t="s">
        <v>35</v>
      </c>
      <c r="B8" s="162" t="s">
        <v>33</v>
      </c>
      <c r="C8" s="163" t="s">
        <v>46</v>
      </c>
      <c r="D8" s="177" t="s">
        <v>34</v>
      </c>
      <c r="E8" s="164">
        <v>395</v>
      </c>
      <c r="F8" s="171" t="s">
        <v>39</v>
      </c>
    </row>
    <row r="9" spans="1:6" s="178" customFormat="1" ht="15" customHeight="1">
      <c r="A9" s="178" t="s">
        <v>7</v>
      </c>
      <c r="B9" s="178" t="s">
        <v>33</v>
      </c>
      <c r="C9" s="179" t="s">
        <v>8</v>
      </c>
      <c r="D9" s="180" t="s">
        <v>34</v>
      </c>
      <c r="E9" s="181">
        <v>995</v>
      </c>
      <c r="F9" s="184" t="s">
        <v>40</v>
      </c>
    </row>
    <row r="10" spans="1:6" s="133" customFormat="1" ht="15" customHeight="1">
      <c r="A10" s="162" t="s">
        <v>9</v>
      </c>
      <c r="B10" s="162" t="s">
        <v>33</v>
      </c>
      <c r="C10" s="163" t="s">
        <v>10</v>
      </c>
      <c r="D10" s="177" t="s">
        <v>34</v>
      </c>
      <c r="E10" s="164">
        <v>3950</v>
      </c>
      <c r="F10" s="171" t="s">
        <v>41</v>
      </c>
    </row>
    <row r="11" spans="1:6" s="178" customFormat="1" ht="15" customHeight="1">
      <c r="A11" s="178" t="s">
        <v>289</v>
      </c>
      <c r="B11" s="178" t="s">
        <v>33</v>
      </c>
      <c r="C11" s="179" t="s">
        <v>290</v>
      </c>
      <c r="D11" s="180" t="s">
        <v>34</v>
      </c>
      <c r="E11" s="181">
        <v>395</v>
      </c>
      <c r="F11" s="184" t="s">
        <v>292</v>
      </c>
    </row>
    <row r="12" spans="1:6" s="133" customFormat="1" ht="15" customHeight="1">
      <c r="F12" s="172"/>
    </row>
    <row r="13" spans="1:6" s="27" customFormat="1" ht="15" customHeight="1">
      <c r="A13" s="24" t="s">
        <v>44</v>
      </c>
      <c r="B13" s="24"/>
      <c r="C13" s="24"/>
      <c r="D13" s="24"/>
      <c r="E13" s="24"/>
      <c r="F13" s="25"/>
    </row>
    <row r="14" spans="1:6" s="178" customFormat="1" ht="15" customHeight="1">
      <c r="A14" s="178" t="s">
        <v>3</v>
      </c>
      <c r="B14" s="178" t="s">
        <v>33</v>
      </c>
      <c r="C14" s="179" t="s">
        <v>4</v>
      </c>
      <c r="D14" s="180" t="s">
        <v>34</v>
      </c>
      <c r="E14" s="185">
        <f>E5*2.5</f>
        <v>2497.5</v>
      </c>
      <c r="F14" s="182" t="s">
        <v>287</v>
      </c>
    </row>
    <row r="15" spans="1:6" s="133" customFormat="1" ht="15" customHeight="1">
      <c r="A15" s="162" t="s">
        <v>7</v>
      </c>
      <c r="B15" s="162" t="s">
        <v>33</v>
      </c>
      <c r="C15" s="163" t="s">
        <v>8</v>
      </c>
      <c r="D15" s="177" t="s">
        <v>34</v>
      </c>
      <c r="E15" s="165">
        <f>E9*2.5</f>
        <v>2487.5</v>
      </c>
      <c r="F15" s="170" t="s">
        <v>45</v>
      </c>
    </row>
    <row r="16" spans="1:6" s="133" customFormat="1" ht="15" customHeight="1">
      <c r="C16" s="161"/>
    </row>
    <row r="17" spans="1:6" s="133" customFormat="1" ht="15" customHeight="1">
      <c r="A17" s="24" t="s">
        <v>52</v>
      </c>
      <c r="B17" s="24"/>
      <c r="C17" s="166"/>
      <c r="D17" s="24"/>
      <c r="E17" s="24"/>
      <c r="F17" s="173"/>
    </row>
    <row r="18" spans="1:6" s="178" customFormat="1" ht="15" customHeight="1">
      <c r="A18" s="178" t="s">
        <v>19</v>
      </c>
      <c r="B18" s="178" t="s">
        <v>299</v>
      </c>
      <c r="C18" s="186" t="s">
        <v>49</v>
      </c>
      <c r="F18" s="187"/>
    </row>
    <row r="19" spans="1:6" s="133" customFormat="1" ht="15" customHeight="1">
      <c r="A19" s="162" t="s">
        <v>50</v>
      </c>
      <c r="B19" s="162" t="s">
        <v>299</v>
      </c>
      <c r="C19" s="167" t="s">
        <v>51</v>
      </c>
      <c r="D19" s="162"/>
      <c r="E19" s="162"/>
      <c r="F19" s="170"/>
    </row>
    <row r="20" spans="1:6" s="5" customFormat="1" ht="15" customHeight="1">
      <c r="C20" s="168"/>
      <c r="F20" s="174"/>
    </row>
    <row r="21" spans="1:6" s="133" customFormat="1" ht="15" customHeight="1">
      <c r="A21" s="24" t="s">
        <v>53</v>
      </c>
      <c r="B21" s="24"/>
      <c r="C21" s="166"/>
      <c r="D21" s="24"/>
      <c r="E21" s="24"/>
      <c r="F21" s="173"/>
    </row>
    <row r="22" spans="1:6" s="5" customFormat="1" ht="27" customHeight="1">
      <c r="A22" s="217" t="s">
        <v>300</v>
      </c>
      <c r="B22" s="218"/>
      <c r="C22" s="218"/>
      <c r="D22" s="218"/>
      <c r="E22" s="218"/>
      <c r="F22" s="218"/>
    </row>
    <row r="23" spans="1:6" s="133" customFormat="1" ht="15" customHeight="1"/>
    <row r="24" spans="1:6" s="133" customFormat="1" ht="15" customHeight="1">
      <c r="A24" s="24" t="s">
        <v>54</v>
      </c>
      <c r="B24" s="24"/>
      <c r="C24" s="24"/>
      <c r="D24" s="24"/>
      <c r="E24" s="24"/>
      <c r="F24" s="24"/>
    </row>
    <row r="25" spans="1:6" s="133" customFormat="1" ht="15" customHeight="1">
      <c r="B25" s="159" t="s">
        <v>55</v>
      </c>
    </row>
    <row r="26" spans="1:6" s="178" customFormat="1" ht="15" customHeight="1">
      <c r="A26" s="178" t="s">
        <v>298</v>
      </c>
      <c r="B26" s="188">
        <v>0</v>
      </c>
    </row>
    <row r="27" spans="1:6" s="133" customFormat="1" ht="15" customHeight="1">
      <c r="A27" s="162" t="s">
        <v>56</v>
      </c>
      <c r="B27" s="169">
        <v>0.65</v>
      </c>
      <c r="C27" s="162"/>
      <c r="D27" s="162"/>
      <c r="E27" s="162"/>
      <c r="F27" s="162"/>
    </row>
    <row r="28" spans="1:6">
      <c r="B28" s="31"/>
    </row>
  </sheetData>
  <mergeCells count="2">
    <mergeCell ref="A22:F22"/>
    <mergeCell ref="A1:F1"/>
  </mergeCells>
  <pageMargins left="0.25" right="0.25" top="0.75" bottom="0.75"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Creating a Quote</vt:lpstr>
      <vt:lpstr>Configure Products</vt:lpstr>
      <vt:lpstr>Quotation</vt:lpstr>
      <vt:lpstr>Jacket-July-2011</vt:lpstr>
      <vt:lpstr>US List Prices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dgibson</dc:creator>
  <cp:lastModifiedBy>Bill Stott</cp:lastModifiedBy>
  <cp:lastPrinted>2011-05-27T19:44:59Z</cp:lastPrinted>
  <dcterms:created xsi:type="dcterms:W3CDTF">2009-12-08T19:30:22Z</dcterms:created>
  <dcterms:modified xsi:type="dcterms:W3CDTF">2011-07-19T20:13:55Z</dcterms:modified>
</cp:coreProperties>
</file>